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oit.cusson\Desktop\2022-11-11 Mr et Vr Alu-Compétence\Cours universitaire\"/>
    </mc:Choice>
  </mc:AlternateContent>
  <xr:revisionPtr revIDLastSave="0" documentId="13_ncr:1_{C30DC6B2-152F-4675-86B7-128495A751A8}" xr6:coauthVersionLast="47" xr6:coauthVersionMax="47" xr10:uidLastSave="{00000000-0000-0000-0000-000000000000}"/>
  <bookViews>
    <workbookView xWindow="-2700" yWindow="-16320" windowWidth="29040" windowHeight="16440" tabRatio="818" xr2:uid="{00000000-000D-0000-FFFF-FFFF00000000}"/>
  </bookViews>
  <sheets>
    <sheet name="Calculs" sheetId="23" r:id="rId1"/>
  </sheets>
  <definedNames>
    <definedName name="bulle">#REF!</definedName>
    <definedName name="_xlnm.Print_Titles" localSheetId="0">Calculs!$1:$6</definedName>
    <definedName name="_xlnm.Print_Area" localSheetId="0">Calculs!$A$1:$N$519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7" i="23" l="1"/>
  <c r="K536" i="23"/>
  <c r="K530" i="23"/>
  <c r="K525" i="23"/>
  <c r="K517" i="23"/>
  <c r="K513" i="23"/>
  <c r="K510" i="23"/>
  <c r="K491" i="23"/>
  <c r="K473" i="23"/>
  <c r="K469" i="23"/>
  <c r="K456" i="23"/>
  <c r="K455" i="23"/>
  <c r="K452" i="23"/>
  <c r="K438" i="23"/>
  <c r="K437" i="23"/>
  <c r="K431" i="23"/>
  <c r="K384" i="23"/>
  <c r="K346" i="23"/>
  <c r="K277" i="23"/>
  <c r="K273" i="23"/>
  <c r="K102" i="23"/>
  <c r="K100" i="23"/>
  <c r="K49" i="23"/>
  <c r="K408" i="23" s="1"/>
  <c r="K526" i="23"/>
  <c r="K541" i="23"/>
  <c r="K106" i="23"/>
  <c r="K531" i="23"/>
  <c r="K543" i="23"/>
  <c r="K514" i="23"/>
  <c r="K417" i="23"/>
  <c r="K361" i="23"/>
  <c r="K380" i="23"/>
  <c r="K423" i="23" l="1"/>
  <c r="K119" i="23"/>
  <c r="K283" i="23"/>
  <c r="K472" i="23"/>
  <c r="K440" i="23"/>
  <c r="K369" i="23"/>
  <c r="K96" i="23"/>
  <c r="K107" i="23" s="1"/>
  <c r="K199" i="23"/>
  <c r="K427" i="23"/>
  <c r="K459" i="23"/>
  <c r="K350" i="23"/>
  <c r="K97" i="23"/>
  <c r="K412" i="23"/>
  <c r="K460" i="23"/>
  <c r="K494" i="23"/>
  <c r="K527" i="23"/>
  <c r="K518" i="23"/>
  <c r="K505" i="23" s="1"/>
  <c r="K504" i="23" s="1"/>
  <c r="K42" i="23"/>
  <c r="K109" i="23" s="1"/>
  <c r="K108" i="23" s="1"/>
  <c r="K98" i="23"/>
  <c r="K114" i="23" s="1"/>
  <c r="K373" i="23"/>
  <c r="K413" i="23"/>
  <c r="K495" i="23"/>
  <c r="K542" i="23"/>
  <c r="K61" i="23"/>
  <c r="K99" i="23"/>
  <c r="K115" i="23" s="1"/>
  <c r="K276" i="23"/>
  <c r="K357" i="23"/>
  <c r="K430" i="23"/>
  <c r="K462" i="23"/>
  <c r="K529" i="23"/>
  <c r="K101" i="23"/>
  <c r="K117" i="23" s="1"/>
  <c r="K116" i="23"/>
  <c r="K479" i="23"/>
  <c r="K498" i="23"/>
  <c r="K85" i="23"/>
  <c r="K118" i="23"/>
  <c r="H543" i="23"/>
  <c r="H542" i="23"/>
  <c r="H541" i="23"/>
  <c r="H537" i="23"/>
  <c r="H536" i="23"/>
  <c r="H531" i="23"/>
  <c r="H530" i="23"/>
  <c r="H529" i="23"/>
  <c r="H527" i="23"/>
  <c r="H526" i="23"/>
  <c r="H525" i="23"/>
  <c r="H518" i="23"/>
  <c r="H517" i="23"/>
  <c r="H514" i="23"/>
  <c r="H513" i="23"/>
  <c r="H510" i="23"/>
  <c r="H498" i="23"/>
  <c r="H495" i="23"/>
  <c r="H494" i="23"/>
  <c r="H491" i="23"/>
  <c r="H479" i="23"/>
  <c r="H478" i="23"/>
  <c r="H473" i="23"/>
  <c r="H472" i="23"/>
  <c r="H469" i="23"/>
  <c r="H462" i="23"/>
  <c r="H461" i="23"/>
  <c r="H460" i="23"/>
  <c r="H459" i="23"/>
  <c r="H456" i="23"/>
  <c r="H455" i="23"/>
  <c r="H452" i="23"/>
  <c r="H440" i="23"/>
  <c r="H438" i="23"/>
  <c r="H437" i="23"/>
  <c r="H431" i="23"/>
  <c r="H430" i="23"/>
  <c r="H427" i="23"/>
  <c r="H420" i="23"/>
  <c r="H401" i="23" s="1"/>
  <c r="H413" i="23"/>
  <c r="H412" i="23"/>
  <c r="H384" i="23"/>
  <c r="H380" i="23"/>
  <c r="H373" i="23"/>
  <c r="H369" i="23"/>
  <c r="H361" i="23"/>
  <c r="H357" i="23"/>
  <c r="H350" i="23"/>
  <c r="H346" i="23"/>
  <c r="H293" i="23"/>
  <c r="H288" i="23"/>
  <c r="H192" i="23" s="1"/>
  <c r="H208" i="23" s="1"/>
  <c r="H283" i="23"/>
  <c r="H282" i="23"/>
  <c r="H277" i="23"/>
  <c r="H276" i="23"/>
  <c r="H273" i="23"/>
  <c r="H218" i="23"/>
  <c r="H217" i="23"/>
  <c r="H216" i="23"/>
  <c r="H215" i="23"/>
  <c r="H206" i="23"/>
  <c r="H205" i="23" s="1"/>
  <c r="H203" i="23"/>
  <c r="H202" i="23"/>
  <c r="H201" i="23" s="1"/>
  <c r="H199" i="23"/>
  <c r="H196" i="23"/>
  <c r="H212" i="23" s="1"/>
  <c r="H195" i="23"/>
  <c r="H211" i="23" s="1"/>
  <c r="H194" i="23"/>
  <c r="H210" i="23" s="1"/>
  <c r="H193" i="23"/>
  <c r="H209" i="23" s="1"/>
  <c r="H190" i="23"/>
  <c r="H204" i="23" s="1"/>
  <c r="H189" i="23"/>
  <c r="H200" i="23" s="1"/>
  <c r="H186" i="23"/>
  <c r="H185" i="23"/>
  <c r="H184" i="23"/>
  <c r="H183" i="23"/>
  <c r="H119" i="23"/>
  <c r="H154" i="23" s="1"/>
  <c r="H118" i="23"/>
  <c r="H117" i="23"/>
  <c r="H116" i="23"/>
  <c r="H145" i="23" s="1"/>
  <c r="H115" i="23"/>
  <c r="H142" i="23" s="1"/>
  <c r="H114" i="23"/>
  <c r="H113" i="23"/>
  <c r="H112" i="23" s="1"/>
  <c r="H111" i="23"/>
  <c r="H110" i="23"/>
  <c r="H109" i="23"/>
  <c r="H108" i="23" s="1"/>
  <c r="H107" i="23"/>
  <c r="H106" i="23"/>
  <c r="H86" i="23"/>
  <c r="H85" i="23"/>
  <c r="H65" i="23"/>
  <c r="H132" i="23" s="1"/>
  <c r="H64" i="23"/>
  <c r="H61" i="23"/>
  <c r="H49" i="23"/>
  <c r="H408" i="23" s="1"/>
  <c r="H35" i="23"/>
  <c r="H516" i="23" s="1"/>
  <c r="K202" i="23" l="1"/>
  <c r="K201" i="23" s="1"/>
  <c r="K128" i="23"/>
  <c r="K43" i="23"/>
  <c r="K154" i="23"/>
  <c r="H67" i="23"/>
  <c r="H72" i="23" s="1"/>
  <c r="H433" i="23" s="1"/>
  <c r="H429" i="23" s="1"/>
  <c r="H428" i="23" s="1"/>
  <c r="H426" i="23" s="1"/>
  <c r="H403" i="23" s="1"/>
  <c r="H68" i="23"/>
  <c r="H80" i="23"/>
  <c r="H441" i="23" s="1"/>
  <c r="H497" i="23"/>
  <c r="H496" i="23" s="1"/>
  <c r="H493" i="23" s="1"/>
  <c r="H490" i="23" s="1"/>
  <c r="H489" i="23" s="1"/>
  <c r="H488" i="23" s="1"/>
  <c r="H486" i="23" s="1"/>
  <c r="H15" i="23" s="1"/>
  <c r="H84" i="23"/>
  <c r="H545" i="23" s="1"/>
  <c r="H284" i="23"/>
  <c r="H281" i="23" s="1"/>
  <c r="H458" i="23"/>
  <c r="H457" i="23" s="1"/>
  <c r="H454" i="23" s="1"/>
  <c r="H451" i="23" s="1"/>
  <c r="H450" i="23" s="1"/>
  <c r="H294" i="23"/>
  <c r="H214" i="23" s="1"/>
  <c r="H235" i="23" s="1"/>
  <c r="H120" i="23"/>
  <c r="H182" i="23" s="1"/>
  <c r="H62" i="23"/>
  <c r="H82" i="23"/>
  <c r="H515" i="23"/>
  <c r="H512" i="23" s="1"/>
  <c r="H509" i="23" s="1"/>
  <c r="H508" i="23" s="1"/>
  <c r="H507" i="23" s="1"/>
  <c r="H213" i="23"/>
  <c r="H244" i="23"/>
  <c r="H224" i="23"/>
  <c r="H247" i="23"/>
  <c r="H238" i="23"/>
  <c r="H221" i="23"/>
  <c r="H128" i="23"/>
  <c r="H131" i="23"/>
  <c r="H225" i="23"/>
  <c r="H423" i="23"/>
  <c r="H505" i="23"/>
  <c r="H504" i="23" s="1"/>
  <c r="H503" i="23" s="1"/>
  <c r="H241" i="23"/>
  <c r="H148" i="23"/>
  <c r="H151" i="23"/>
  <c r="E543" i="23"/>
  <c r="E542" i="23"/>
  <c r="E541" i="23"/>
  <c r="E537" i="23"/>
  <c r="E536" i="23"/>
  <c r="E531" i="23"/>
  <c r="E530" i="23"/>
  <c r="E529" i="23"/>
  <c r="E527" i="23"/>
  <c r="E526" i="23"/>
  <c r="E525" i="23"/>
  <c r="E518" i="23"/>
  <c r="E517" i="23"/>
  <c r="E514" i="23"/>
  <c r="E513" i="23"/>
  <c r="G510" i="23"/>
  <c r="F510" i="23"/>
  <c r="E510" i="23"/>
  <c r="E498" i="23"/>
  <c r="E495" i="23"/>
  <c r="E494" i="23"/>
  <c r="G491" i="23"/>
  <c r="F491" i="23"/>
  <c r="E491" i="23"/>
  <c r="E479" i="23"/>
  <c r="E473" i="23"/>
  <c r="E472" i="23"/>
  <c r="G469" i="23"/>
  <c r="F469" i="23"/>
  <c r="E469" i="23"/>
  <c r="E462" i="23"/>
  <c r="E460" i="23"/>
  <c r="E459" i="23"/>
  <c r="E456" i="23"/>
  <c r="E455" i="23"/>
  <c r="G452" i="23"/>
  <c r="F452" i="23"/>
  <c r="E452" i="23"/>
  <c r="E440" i="23"/>
  <c r="E438" i="23"/>
  <c r="E437" i="23"/>
  <c r="E431" i="23"/>
  <c r="E430" i="23"/>
  <c r="E427" i="23"/>
  <c r="E420" i="23"/>
  <c r="E401" i="23" s="1"/>
  <c r="E413" i="23"/>
  <c r="E412" i="23"/>
  <c r="E384" i="23"/>
  <c r="E380" i="23"/>
  <c r="E373" i="23"/>
  <c r="E369" i="23"/>
  <c r="E361" i="23"/>
  <c r="E357" i="23"/>
  <c r="E350" i="23"/>
  <c r="E346" i="23"/>
  <c r="E293" i="23"/>
  <c r="E213" i="23" s="1"/>
  <c r="E288" i="23"/>
  <c r="E192" i="23" s="1"/>
  <c r="E208" i="23" s="1"/>
  <c r="E283" i="23"/>
  <c r="E277" i="23"/>
  <c r="E276" i="23"/>
  <c r="G273" i="23"/>
  <c r="F273" i="23"/>
  <c r="E273" i="23"/>
  <c r="G218" i="23"/>
  <c r="E218" i="23"/>
  <c r="G217" i="23"/>
  <c r="E217" i="23"/>
  <c r="E216" i="23"/>
  <c r="E215" i="23"/>
  <c r="E206" i="23"/>
  <c r="E202" i="23"/>
  <c r="E201" i="23" s="1"/>
  <c r="E199" i="23"/>
  <c r="G196" i="23"/>
  <c r="E196" i="23"/>
  <c r="E212" i="23" s="1"/>
  <c r="G195" i="23"/>
  <c r="E195" i="23"/>
  <c r="E211" i="23" s="1"/>
  <c r="E194" i="23"/>
  <c r="E210" i="23" s="1"/>
  <c r="E193" i="23"/>
  <c r="E209" i="23" s="1"/>
  <c r="F190" i="23"/>
  <c r="E190" i="23"/>
  <c r="F189" i="23"/>
  <c r="E189" i="23"/>
  <c r="E200" i="23" s="1"/>
  <c r="G186" i="23"/>
  <c r="E186" i="23"/>
  <c r="G185" i="23"/>
  <c r="E185" i="23"/>
  <c r="E184" i="23"/>
  <c r="E183" i="23"/>
  <c r="F121" i="23"/>
  <c r="F183" i="23" s="1"/>
  <c r="G120" i="23"/>
  <c r="G122" i="23" s="1"/>
  <c r="G184" i="23" s="1"/>
  <c r="F120" i="23"/>
  <c r="F124" i="23" s="1"/>
  <c r="F186" i="23" s="1"/>
  <c r="E119" i="23"/>
  <c r="E154" i="23" s="1"/>
  <c r="E118" i="23"/>
  <c r="E151" i="23" s="1"/>
  <c r="E117" i="23"/>
  <c r="E148" i="23" s="1"/>
  <c r="E116" i="23"/>
  <c r="E145" i="23" s="1"/>
  <c r="E115" i="23"/>
  <c r="E142" i="23" s="1"/>
  <c r="E114" i="23"/>
  <c r="E113" i="23"/>
  <c r="E109" i="23"/>
  <c r="E108" i="23" s="1"/>
  <c r="E107" i="23"/>
  <c r="E106" i="23"/>
  <c r="E85" i="23"/>
  <c r="E64" i="23"/>
  <c r="E61" i="23"/>
  <c r="G49" i="23"/>
  <c r="F49" i="23"/>
  <c r="E49" i="23"/>
  <c r="E423" i="23" s="1"/>
  <c r="F536" i="23"/>
  <c r="G517" i="23"/>
  <c r="F517" i="23"/>
  <c r="G119" i="23"/>
  <c r="F119" i="23"/>
  <c r="E86" i="23"/>
  <c r="F107" i="23"/>
  <c r="G543" i="23"/>
  <c r="F543" i="23"/>
  <c r="F495" i="23"/>
  <c r="F431" i="23"/>
  <c r="F380" i="23"/>
  <c r="K203" i="23" l="1"/>
  <c r="K110" i="23"/>
  <c r="K111" i="23"/>
  <c r="K65" i="23"/>
  <c r="K64" i="23"/>
  <c r="K35" i="23"/>
  <c r="K84" i="23" s="1"/>
  <c r="K461" i="23"/>
  <c r="K458" i="23" s="1"/>
  <c r="K457" i="23" s="1"/>
  <c r="K454" i="23" s="1"/>
  <c r="K478" i="23"/>
  <c r="K282" i="23"/>
  <c r="K113" i="23"/>
  <c r="K112" i="23" s="1"/>
  <c r="K206" i="23"/>
  <c r="K205" i="23" s="1"/>
  <c r="K86" i="23"/>
  <c r="H544" i="23"/>
  <c r="H81" i="23"/>
  <c r="H528" i="23" s="1"/>
  <c r="H524" i="23" s="1"/>
  <c r="H73" i="23"/>
  <c r="H74" i="23" s="1"/>
  <c r="H63" i="23" s="1"/>
  <c r="H143" i="23"/>
  <c r="H83" i="23"/>
  <c r="H149" i="23"/>
  <c r="H139" i="23"/>
  <c r="H134" i="23" s="1"/>
  <c r="H146" i="23"/>
  <c r="H152" i="23"/>
  <c r="H140" i="23"/>
  <c r="H155" i="23"/>
  <c r="H280" i="23"/>
  <c r="H279" i="23" s="1"/>
  <c r="H278" i="23" s="1"/>
  <c r="H275" i="23" s="1"/>
  <c r="H272" i="23" s="1"/>
  <c r="H271" i="23" s="1"/>
  <c r="H268" i="23" s="1"/>
  <c r="H287" i="23" s="1"/>
  <c r="H191" i="23" s="1"/>
  <c r="H207" i="23" s="1"/>
  <c r="H232" i="23" s="1"/>
  <c r="H248" i="23"/>
  <c r="H336" i="23"/>
  <c r="H335" i="23" s="1"/>
  <c r="H129" i="23"/>
  <c r="H222" i="23"/>
  <c r="H245" i="23"/>
  <c r="H442" i="23"/>
  <c r="H242" i="23"/>
  <c r="H239" i="23"/>
  <c r="H236" i="23"/>
  <c r="H233" i="23"/>
  <c r="H449" i="23"/>
  <c r="H414" i="23" s="1"/>
  <c r="H368" i="23"/>
  <c r="H502" i="23"/>
  <c r="E505" i="23"/>
  <c r="E504" i="23" s="1"/>
  <c r="G61" i="23"/>
  <c r="G117" i="23"/>
  <c r="G148" i="23" s="1"/>
  <c r="F85" i="23"/>
  <c r="G85" i="23"/>
  <c r="G96" i="23"/>
  <c r="G107" i="23" s="1"/>
  <c r="F514" i="23"/>
  <c r="F154" i="23"/>
  <c r="E128" i="23"/>
  <c r="G154" i="23"/>
  <c r="E204" i="23"/>
  <c r="E478" i="23"/>
  <c r="E203" i="23"/>
  <c r="G100" i="23"/>
  <c r="G116" i="23" s="1"/>
  <c r="F114" i="23"/>
  <c r="E238" i="23"/>
  <c r="F357" i="23"/>
  <c r="E408" i="23"/>
  <c r="F513" i="23"/>
  <c r="F494" i="23"/>
  <c r="F472" i="23"/>
  <c r="F430" i="23"/>
  <c r="F413" i="23"/>
  <c r="F369" i="23"/>
  <c r="F346" i="23"/>
  <c r="F276" i="23"/>
  <c r="F537" i="23"/>
  <c r="F526" i="23"/>
  <c r="F438" i="23"/>
  <c r="G513" i="23"/>
  <c r="G430" i="23"/>
  <c r="G413" i="23"/>
  <c r="G369" i="23"/>
  <c r="G346" i="23"/>
  <c r="G276" i="23"/>
  <c r="G455" i="23"/>
  <c r="G537" i="23"/>
  <c r="G526" i="23"/>
  <c r="G438" i="23"/>
  <c r="E112" i="23"/>
  <c r="G357" i="23"/>
  <c r="G380" i="23"/>
  <c r="F373" i="23"/>
  <c r="F350" i="23"/>
  <c r="F541" i="23"/>
  <c r="F527" i="23"/>
  <c r="F106" i="23"/>
  <c r="F109" i="23"/>
  <c r="F108" i="23" s="1"/>
  <c r="F118" i="23"/>
  <c r="F182" i="23"/>
  <c r="E241" i="23"/>
  <c r="F440" i="23"/>
  <c r="G460" i="23"/>
  <c r="G373" i="23"/>
  <c r="G350" i="23"/>
  <c r="G531" i="23"/>
  <c r="G541" i="23"/>
  <c r="G527" i="23"/>
  <c r="G440" i="23"/>
  <c r="F423" i="23"/>
  <c r="F408" i="23"/>
  <c r="F61" i="23"/>
  <c r="G106" i="23"/>
  <c r="G109" i="23"/>
  <c r="G108" i="23" s="1"/>
  <c r="G115" i="23"/>
  <c r="G118" i="23"/>
  <c r="G182" i="23"/>
  <c r="E221" i="23"/>
  <c r="G431" i="23"/>
  <c r="E461" i="23"/>
  <c r="E458" i="23" s="1"/>
  <c r="E457" i="23" s="1"/>
  <c r="E454" i="23" s="1"/>
  <c r="G494" i="23"/>
  <c r="G423" i="23"/>
  <c r="G408" i="23"/>
  <c r="E110" i="23"/>
  <c r="E244" i="23"/>
  <c r="F361" i="23"/>
  <c r="F384" i="23"/>
  <c r="F479" i="23"/>
  <c r="E65" i="23"/>
  <c r="G361" i="23"/>
  <c r="G384" i="23"/>
  <c r="F432" i="23"/>
  <c r="G472" i="23"/>
  <c r="F542" i="23"/>
  <c r="G529" i="23"/>
  <c r="G199" i="23"/>
  <c r="G97" i="23"/>
  <c r="F113" i="23"/>
  <c r="F116" i="23"/>
  <c r="F123" i="23"/>
  <c r="F185" i="23" s="1"/>
  <c r="F455" i="23"/>
  <c r="F531" i="23"/>
  <c r="F283" i="23"/>
  <c r="F206" i="23"/>
  <c r="F518" i="23"/>
  <c r="F462" i="23"/>
  <c r="F202" i="23"/>
  <c r="F201" i="23" s="1"/>
  <c r="G98" i="23"/>
  <c r="G114" i="23" s="1"/>
  <c r="G113" i="23"/>
  <c r="E247" i="23"/>
  <c r="E205" i="23"/>
  <c r="F460" i="23"/>
  <c r="F200" i="23"/>
  <c r="F529" i="23"/>
  <c r="F199" i="23"/>
  <c r="F427" i="23"/>
  <c r="F277" i="23"/>
  <c r="F456" i="23"/>
  <c r="F412" i="23"/>
  <c r="F530" i="23"/>
  <c r="F459" i="23"/>
  <c r="G283" i="23"/>
  <c r="G212" i="23"/>
  <c r="G206" i="23"/>
  <c r="G518" i="23"/>
  <c r="G462" i="23"/>
  <c r="G211" i="23"/>
  <c r="G202" i="23"/>
  <c r="G201" i="23" s="1"/>
  <c r="G498" i="23"/>
  <c r="G479" i="23"/>
  <c r="E111" i="23"/>
  <c r="E282" i="23"/>
  <c r="F473" i="23"/>
  <c r="F525" i="23"/>
  <c r="G427" i="23"/>
  <c r="G277" i="23"/>
  <c r="G456" i="23"/>
  <c r="G412" i="23"/>
  <c r="G542" i="23"/>
  <c r="G514" i="23"/>
  <c r="G495" i="23"/>
  <c r="G473" i="23"/>
  <c r="G530" i="23"/>
  <c r="G459" i="23"/>
  <c r="E35" i="23"/>
  <c r="E62" i="23" s="1"/>
  <c r="G536" i="23"/>
  <c r="G525" i="23"/>
  <c r="G437" i="23"/>
  <c r="F99" i="23"/>
  <c r="F101" i="23" s="1"/>
  <c r="F117" i="23" s="1"/>
  <c r="F437" i="23"/>
  <c r="F498" i="23"/>
  <c r="J510" i="23"/>
  <c r="J491" i="23"/>
  <c r="J469" i="23"/>
  <c r="J452" i="23"/>
  <c r="J273" i="23"/>
  <c r="J218" i="23"/>
  <c r="J217" i="23"/>
  <c r="J196" i="23"/>
  <c r="J195" i="23"/>
  <c r="J186" i="23"/>
  <c r="J185" i="23"/>
  <c r="J120" i="23"/>
  <c r="J122" i="23" s="1"/>
  <c r="J184" i="23" s="1"/>
  <c r="J49" i="23"/>
  <c r="J408" i="23" s="1"/>
  <c r="J526" i="23"/>
  <c r="J525" i="23"/>
  <c r="J517" i="23"/>
  <c r="J541" i="23"/>
  <c r="J206" i="23"/>
  <c r="J530" i="23"/>
  <c r="J531" i="23"/>
  <c r="J543" i="23"/>
  <c r="J542" i="23"/>
  <c r="J350" i="23"/>
  <c r="J494" i="23"/>
  <c r="K131" i="23" l="1"/>
  <c r="K545" i="23"/>
  <c r="K442" i="23"/>
  <c r="K68" i="23"/>
  <c r="K80" i="23"/>
  <c r="K336" i="23"/>
  <c r="K451" i="23"/>
  <c r="K450" i="23" s="1"/>
  <c r="K516" i="23"/>
  <c r="K44" i="23"/>
  <c r="K432" i="23" s="1"/>
  <c r="K497" i="23"/>
  <c r="K67" i="23"/>
  <c r="K72" i="23" s="1"/>
  <c r="K433" i="23" s="1"/>
  <c r="K284" i="23"/>
  <c r="K122" i="23"/>
  <c r="K124" i="23"/>
  <c r="K123" i="23"/>
  <c r="K120" i="23"/>
  <c r="K121" i="23"/>
  <c r="K62" i="23"/>
  <c r="K82" i="23"/>
  <c r="K132" i="23"/>
  <c r="K225" i="23"/>
  <c r="H75" i="23"/>
  <c r="H87" i="23" s="1"/>
  <c r="H135" i="23"/>
  <c r="H160" i="23" s="1"/>
  <c r="H66" i="23"/>
  <c r="H69" i="23"/>
  <c r="H76" i="23"/>
  <c r="H88" i="23" s="1"/>
  <c r="H167" i="23"/>
  <c r="H168" i="23" s="1"/>
  <c r="H169" i="23" s="1"/>
  <c r="H159" i="23"/>
  <c r="H11" i="23"/>
  <c r="H9" i="23"/>
  <c r="H227" i="23"/>
  <c r="H16" i="23"/>
  <c r="H501" i="23"/>
  <c r="H260" i="23"/>
  <c r="E80" i="23"/>
  <c r="E441" i="23" s="1"/>
  <c r="E82" i="23"/>
  <c r="E83" i="23" s="1"/>
  <c r="E68" i="23"/>
  <c r="F115" i="23"/>
  <c r="F142" i="23" s="1"/>
  <c r="E129" i="23"/>
  <c r="E222" i="23"/>
  <c r="F128" i="23"/>
  <c r="F148" i="23"/>
  <c r="F151" i="23"/>
  <c r="G505" i="23"/>
  <c r="G504" i="23" s="1"/>
  <c r="E224" i="23"/>
  <c r="E336" i="23"/>
  <c r="E451" i="23"/>
  <c r="E450" i="23" s="1"/>
  <c r="G244" i="23"/>
  <c r="E131" i="23"/>
  <c r="E225" i="23"/>
  <c r="E132" i="23"/>
  <c r="G145" i="23"/>
  <c r="G303" i="23"/>
  <c r="G193" i="23" s="1"/>
  <c r="G209" i="23" s="1"/>
  <c r="G310" i="23"/>
  <c r="G216" i="23" s="1"/>
  <c r="G307" i="23"/>
  <c r="G213" i="23" s="1"/>
  <c r="G247" i="23"/>
  <c r="G139" i="23"/>
  <c r="F221" i="23"/>
  <c r="G151" i="23"/>
  <c r="E284" i="23"/>
  <c r="E516" i="23"/>
  <c r="E497" i="23"/>
  <c r="E294" i="23"/>
  <c r="E214" i="23" s="1"/>
  <c r="E242" i="23" s="1"/>
  <c r="E120" i="23"/>
  <c r="E155" i="23" s="1"/>
  <c r="E67" i="23"/>
  <c r="E72" i="23" s="1"/>
  <c r="E433" i="23" s="1"/>
  <c r="E429" i="23" s="1"/>
  <c r="E428" i="23" s="1"/>
  <c r="E426" i="23" s="1"/>
  <c r="E403" i="23" s="1"/>
  <c r="E84" i="23"/>
  <c r="E233" i="23"/>
  <c r="G128" i="23"/>
  <c r="F316" i="23"/>
  <c r="F192" i="23" s="1"/>
  <c r="F208" i="23" s="1"/>
  <c r="F326" i="23"/>
  <c r="F218" i="23" s="1"/>
  <c r="F325" i="23"/>
  <c r="F217" i="23" s="1"/>
  <c r="F323" i="23"/>
  <c r="F215" i="23" s="1"/>
  <c r="F321" i="23"/>
  <c r="F213" i="23" s="1"/>
  <c r="F318" i="23"/>
  <c r="F194" i="23" s="1"/>
  <c r="F210" i="23" s="1"/>
  <c r="F320" i="23"/>
  <c r="F196" i="23" s="1"/>
  <c r="F212" i="23" s="1"/>
  <c r="F139" i="23"/>
  <c r="F505" i="23"/>
  <c r="F504" i="23" s="1"/>
  <c r="J117" i="23"/>
  <c r="J148" i="23" s="1"/>
  <c r="J182" i="23"/>
  <c r="J310" i="23" s="1"/>
  <c r="J216" i="23" s="1"/>
  <c r="J283" i="23"/>
  <c r="J118" i="23"/>
  <c r="J151" i="23" s="1"/>
  <c r="J119" i="23"/>
  <c r="J154" i="23" s="1"/>
  <c r="J413" i="23"/>
  <c r="J430" i="23"/>
  <c r="J98" i="23"/>
  <c r="J114" i="23" s="1"/>
  <c r="J139" i="23" s="1"/>
  <c r="J459" i="23"/>
  <c r="J479" i="23"/>
  <c r="J462" i="23"/>
  <c r="J211" i="23"/>
  <c r="J244" i="23" s="1"/>
  <c r="J498" i="23"/>
  <c r="J115" i="23"/>
  <c r="J373" i="23"/>
  <c r="J431" i="23"/>
  <c r="J514" i="23"/>
  <c r="J109" i="23"/>
  <c r="J108" i="23" s="1"/>
  <c r="J202" i="23"/>
  <c r="J201" i="23" s="1"/>
  <c r="J276" i="23"/>
  <c r="J437" i="23"/>
  <c r="J455" i="23"/>
  <c r="J536" i="23"/>
  <c r="J212" i="23"/>
  <c r="J361" i="23"/>
  <c r="J277" i="23"/>
  <c r="J346" i="23"/>
  <c r="J423" i="23"/>
  <c r="J438" i="23"/>
  <c r="J456" i="23"/>
  <c r="J518" i="23"/>
  <c r="J537" i="23"/>
  <c r="J380" i="23"/>
  <c r="J384" i="23"/>
  <c r="J472" i="23"/>
  <c r="J440" i="23"/>
  <c r="J473" i="23"/>
  <c r="J513" i="23"/>
  <c r="J113" i="23"/>
  <c r="J369" i="23"/>
  <c r="J427" i="23"/>
  <c r="J100" i="23"/>
  <c r="J116" i="23" s="1"/>
  <c r="J357" i="23"/>
  <c r="J96" i="23"/>
  <c r="J527" i="23"/>
  <c r="J97" i="23"/>
  <c r="J412" i="23"/>
  <c r="J495" i="23"/>
  <c r="K83" i="23" l="1"/>
  <c r="K143" i="23"/>
  <c r="K186" i="23"/>
  <c r="K151" i="23"/>
  <c r="K515" i="23"/>
  <c r="K512" i="23" s="1"/>
  <c r="K509" i="23" s="1"/>
  <c r="K508" i="23" s="1"/>
  <c r="K507" i="23" s="1"/>
  <c r="K502" i="23" s="1"/>
  <c r="K503" i="23"/>
  <c r="K129" i="23"/>
  <c r="K222" i="23"/>
  <c r="K184" i="23"/>
  <c r="K145" i="23"/>
  <c r="K280" i="23"/>
  <c r="K281" i="23"/>
  <c r="K279" i="23" s="1"/>
  <c r="K278" i="23" s="1"/>
  <c r="K275" i="23" s="1"/>
  <c r="K272" i="23" s="1"/>
  <c r="K271" i="23" s="1"/>
  <c r="K268" i="23" s="1"/>
  <c r="K449" i="23"/>
  <c r="K414" i="23" s="1"/>
  <c r="K368" i="23"/>
  <c r="K183" i="23"/>
  <c r="K142" i="23"/>
  <c r="K11" i="23"/>
  <c r="K335" i="23"/>
  <c r="K544" i="23"/>
  <c r="K81" i="23"/>
  <c r="K528" i="23" s="1"/>
  <c r="K524" i="23" s="1"/>
  <c r="K441" i="23"/>
  <c r="K182" i="23"/>
  <c r="K139" i="23"/>
  <c r="K155" i="23"/>
  <c r="K185" i="23"/>
  <c r="K148" i="23"/>
  <c r="K496" i="23"/>
  <c r="K493" i="23" s="1"/>
  <c r="K490" i="23" s="1"/>
  <c r="K489" i="23" s="1"/>
  <c r="K488" i="23" s="1"/>
  <c r="K486" i="23" s="1"/>
  <c r="K15" i="23" s="1"/>
  <c r="K140" i="23"/>
  <c r="K429" i="23"/>
  <c r="K428" i="23" s="1"/>
  <c r="K426" i="23" s="1"/>
  <c r="K403" i="23" s="1"/>
  <c r="K152" i="23"/>
  <c r="K146" i="23"/>
  <c r="K73" i="23"/>
  <c r="K74" i="23" s="1"/>
  <c r="K69" i="23" s="1"/>
  <c r="K149" i="23"/>
  <c r="H77" i="23"/>
  <c r="H78" i="23" s="1"/>
  <c r="H161" i="23"/>
  <c r="H163" i="23" s="1"/>
  <c r="H480" i="23"/>
  <c r="H476" i="23" s="1"/>
  <c r="H89" i="23"/>
  <c r="H546" i="23" s="1"/>
  <c r="H252" i="23"/>
  <c r="H261" i="23"/>
  <c r="H262" i="23" s="1"/>
  <c r="H228" i="23"/>
  <c r="H253" i="23" s="1"/>
  <c r="H349" i="23"/>
  <c r="H347" i="23" s="1"/>
  <c r="H345" i="23"/>
  <c r="H343" i="23" s="1"/>
  <c r="E544" i="23"/>
  <c r="E239" i="23"/>
  <c r="E248" i="23"/>
  <c r="E152" i="23"/>
  <c r="E236" i="23"/>
  <c r="E245" i="23"/>
  <c r="G308" i="23"/>
  <c r="G214" i="23" s="1"/>
  <c r="E149" i="23"/>
  <c r="E449" i="23"/>
  <c r="E414" i="23" s="1"/>
  <c r="E368" i="23"/>
  <c r="E182" i="23"/>
  <c r="E139" i="23"/>
  <c r="E335" i="23"/>
  <c r="E11" i="23"/>
  <c r="F247" i="23"/>
  <c r="F322" i="23"/>
  <c r="F214" i="23" s="1"/>
  <c r="F235" i="23" s="1"/>
  <c r="E73" i="23"/>
  <c r="E74" i="23" s="1"/>
  <c r="E442" i="23"/>
  <c r="E545" i="23"/>
  <c r="E235" i="23"/>
  <c r="E81" i="23"/>
  <c r="E528" i="23" s="1"/>
  <c r="E524" i="23" s="1"/>
  <c r="E140" i="23"/>
  <c r="E496" i="23"/>
  <c r="E493" i="23" s="1"/>
  <c r="E490" i="23" s="1"/>
  <c r="E489" i="23" s="1"/>
  <c r="E488" i="23" s="1"/>
  <c r="E486" i="23" s="1"/>
  <c r="E15" i="23" s="1"/>
  <c r="E143" i="23"/>
  <c r="E515" i="23"/>
  <c r="E512" i="23" s="1"/>
  <c r="E509" i="23" s="1"/>
  <c r="E508" i="23" s="1"/>
  <c r="E507" i="23" s="1"/>
  <c r="E502" i="23" s="1"/>
  <c r="E503" i="23"/>
  <c r="E146" i="23"/>
  <c r="E281" i="23"/>
  <c r="E279" i="23" s="1"/>
  <c r="E278" i="23" s="1"/>
  <c r="E275" i="23" s="1"/>
  <c r="E272" i="23" s="1"/>
  <c r="E271" i="23" s="1"/>
  <c r="E268" i="23" s="1"/>
  <c r="E287" i="23" s="1"/>
  <c r="E191" i="23" s="1"/>
  <c r="E207" i="23" s="1"/>
  <c r="E280" i="23"/>
  <c r="J303" i="23"/>
  <c r="J193" i="23" s="1"/>
  <c r="J209" i="23" s="1"/>
  <c r="J307" i="23"/>
  <c r="J213" i="23" s="1"/>
  <c r="J247" i="23"/>
  <c r="J505" i="23"/>
  <c r="J504" i="23" s="1"/>
  <c r="J145" i="23"/>
  <c r="K167" i="23" l="1"/>
  <c r="K168" i="23" s="1"/>
  <c r="K169" i="23" s="1"/>
  <c r="K9" i="23"/>
  <c r="K75" i="23"/>
  <c r="K76" i="23"/>
  <c r="K63" i="23"/>
  <c r="K66" i="23"/>
  <c r="K501" i="23"/>
  <c r="K16" i="23"/>
  <c r="K134" i="23"/>
  <c r="K135" i="23" s="1"/>
  <c r="K321" i="23"/>
  <c r="K213" i="23" s="1"/>
  <c r="K326" i="23"/>
  <c r="K218" i="23" s="1"/>
  <c r="K323" i="23"/>
  <c r="K215" i="23" s="1"/>
  <c r="K325" i="23"/>
  <c r="K217" i="23" s="1"/>
  <c r="K324" i="23"/>
  <c r="K216" i="23" s="1"/>
  <c r="H150" i="23"/>
  <c r="H79" i="23"/>
  <c r="H400" i="23" s="1"/>
  <c r="H133" i="23"/>
  <c r="H90" i="23"/>
  <c r="H547" i="23" s="1"/>
  <c r="H540" i="23" s="1"/>
  <c r="H156" i="23"/>
  <c r="H162" i="23"/>
  <c r="H130" i="23"/>
  <c r="H477" i="23"/>
  <c r="H475" i="23" s="1"/>
  <c r="H474" i="23" s="1"/>
  <c r="H471" i="23" s="1"/>
  <c r="H339" i="23" s="1"/>
  <c r="H153" i="23"/>
  <c r="H141" i="23"/>
  <c r="H147" i="23"/>
  <c r="H144" i="23"/>
  <c r="H254" i="23"/>
  <c r="H256" i="23" s="1"/>
  <c r="H443" i="23"/>
  <c r="H342" i="23"/>
  <c r="E75" i="23"/>
  <c r="E87" i="23" s="1"/>
  <c r="E76" i="23"/>
  <c r="E63" i="23"/>
  <c r="E66" i="23"/>
  <c r="E69" i="23"/>
  <c r="E501" i="23"/>
  <c r="E16" i="23"/>
  <c r="E232" i="23"/>
  <c r="E9" i="23"/>
  <c r="E134" i="23"/>
  <c r="E135" i="23" s="1"/>
  <c r="E167" i="23"/>
  <c r="J308" i="23"/>
  <c r="J214" i="23" s="1"/>
  <c r="I106" i="23"/>
  <c r="I283" i="23"/>
  <c r="I543" i="23"/>
  <c r="I542" i="23"/>
  <c r="I541" i="23"/>
  <c r="I537" i="23"/>
  <c r="I536" i="23"/>
  <c r="I531" i="23"/>
  <c r="I530" i="23"/>
  <c r="I527" i="23"/>
  <c r="I526" i="23"/>
  <c r="I525" i="23"/>
  <c r="I517" i="23"/>
  <c r="I514" i="23"/>
  <c r="I513" i="23"/>
  <c r="I510" i="23"/>
  <c r="I495" i="23"/>
  <c r="I494" i="23"/>
  <c r="I491" i="23"/>
  <c r="I473" i="23"/>
  <c r="I472" i="23"/>
  <c r="I469" i="23"/>
  <c r="I462" i="23"/>
  <c r="I459" i="23"/>
  <c r="I456" i="23"/>
  <c r="I455" i="23"/>
  <c r="I452" i="23"/>
  <c r="I440" i="23"/>
  <c r="I438" i="23"/>
  <c r="I437" i="23"/>
  <c r="I431" i="23"/>
  <c r="I430" i="23"/>
  <c r="I427" i="23"/>
  <c r="I420" i="23"/>
  <c r="I401" i="23" s="1"/>
  <c r="I413" i="23"/>
  <c r="I412" i="23"/>
  <c r="I384" i="23"/>
  <c r="I380" i="23"/>
  <c r="I373" i="23"/>
  <c r="I369" i="23"/>
  <c r="I361" i="23"/>
  <c r="I357" i="23"/>
  <c r="I350" i="23"/>
  <c r="I346" i="23"/>
  <c r="I293" i="23"/>
  <c r="I213" i="23" s="1"/>
  <c r="I288" i="23"/>
  <c r="I192" i="23" s="1"/>
  <c r="I277" i="23"/>
  <c r="I276" i="23"/>
  <c r="I273" i="23"/>
  <c r="I218" i="23"/>
  <c r="I217" i="23"/>
  <c r="I216" i="23"/>
  <c r="I215" i="23"/>
  <c r="I206" i="23"/>
  <c r="I196" i="23"/>
  <c r="I195" i="23"/>
  <c r="I194" i="23"/>
  <c r="I193" i="23"/>
  <c r="I190" i="23"/>
  <c r="I189" i="23"/>
  <c r="I186" i="23"/>
  <c r="I185" i="23"/>
  <c r="I184" i="23"/>
  <c r="I183" i="23"/>
  <c r="I49" i="23"/>
  <c r="I423" i="23" s="1"/>
  <c r="K77" i="23" l="1"/>
  <c r="K79" i="23" s="1"/>
  <c r="K345" i="23"/>
  <c r="K343" i="23" s="1"/>
  <c r="K349" i="23"/>
  <c r="K347" i="23" s="1"/>
  <c r="K233" i="23"/>
  <c r="K480" i="23"/>
  <c r="K88" i="23"/>
  <c r="K176" i="23"/>
  <c r="K190" i="23" s="1"/>
  <c r="K204" i="23" s="1"/>
  <c r="K177" i="23"/>
  <c r="K179" i="23"/>
  <c r="K318" i="23" s="1"/>
  <c r="K194" i="23" s="1"/>
  <c r="K210" i="23" s="1"/>
  <c r="K180" i="23"/>
  <c r="K319" i="23" s="1"/>
  <c r="K195" i="23" s="1"/>
  <c r="K211" i="23" s="1"/>
  <c r="K181" i="23"/>
  <c r="K320" i="23" s="1"/>
  <c r="K196" i="23" s="1"/>
  <c r="K212" i="23" s="1"/>
  <c r="K178" i="23"/>
  <c r="K317" i="23" s="1"/>
  <c r="K193" i="23" s="1"/>
  <c r="K209" i="23" s="1"/>
  <c r="K322" i="23"/>
  <c r="K214" i="23" s="1"/>
  <c r="K245" i="23" s="1"/>
  <c r="K175" i="23"/>
  <c r="K189" i="23" s="1"/>
  <c r="K200" i="23" s="1"/>
  <c r="K87" i="23"/>
  <c r="K160" i="23"/>
  <c r="K159" i="23"/>
  <c r="H439" i="23"/>
  <c r="H436" i="23" s="1"/>
  <c r="H538" i="23"/>
  <c r="H394" i="23"/>
  <c r="H136" i="23"/>
  <c r="H164" i="23" s="1"/>
  <c r="H166" i="23" s="1"/>
  <c r="H468" i="23"/>
  <c r="H467" i="23" s="1"/>
  <c r="H466" i="23" s="1"/>
  <c r="H249" i="23"/>
  <c r="H234" i="23"/>
  <c r="H240" i="23"/>
  <c r="H243" i="23"/>
  <c r="H223" i="23"/>
  <c r="H237" i="23"/>
  <c r="H226" i="23"/>
  <c r="H246" i="23"/>
  <c r="H255" i="23"/>
  <c r="H54" i="23" s="1"/>
  <c r="H55" i="23" s="1"/>
  <c r="H338" i="23"/>
  <c r="H12" i="23"/>
  <c r="E227" i="23"/>
  <c r="E228" i="23" s="1"/>
  <c r="E260" i="23"/>
  <c r="E168" i="23"/>
  <c r="E169" i="23" s="1"/>
  <c r="E77" i="23"/>
  <c r="E480" i="23"/>
  <c r="E88" i="23"/>
  <c r="E89" i="23" s="1"/>
  <c r="E160" i="23"/>
  <c r="E159" i="23"/>
  <c r="I529" i="23"/>
  <c r="I61" i="23"/>
  <c r="I460" i="23"/>
  <c r="I85" i="23"/>
  <c r="I199" i="23"/>
  <c r="I107" i="23"/>
  <c r="I200" i="23"/>
  <c r="I518" i="23"/>
  <c r="I505" i="23" s="1"/>
  <c r="I504" i="23" s="1"/>
  <c r="I114" i="23"/>
  <c r="I109" i="23"/>
  <c r="I108" i="23" s="1"/>
  <c r="I117" i="23"/>
  <c r="I148" i="23" s="1"/>
  <c r="I211" i="23"/>
  <c r="I244" i="23" s="1"/>
  <c r="I498" i="23"/>
  <c r="I209" i="23"/>
  <c r="I238" i="23" s="1"/>
  <c r="I210" i="23"/>
  <c r="I241" i="23" s="1"/>
  <c r="I113" i="23"/>
  <c r="I112" i="23" s="1"/>
  <c r="I208" i="23"/>
  <c r="I116" i="23"/>
  <c r="I145" i="23" s="1"/>
  <c r="I205" i="23"/>
  <c r="I118" i="23"/>
  <c r="I151" i="23" s="1"/>
  <c r="I212" i="23"/>
  <c r="I247" i="23" s="1"/>
  <c r="I479" i="23"/>
  <c r="I115" i="23"/>
  <c r="I142" i="23" s="1"/>
  <c r="I119" i="23"/>
  <c r="I154" i="23" s="1"/>
  <c r="I202" i="23"/>
  <c r="I201" i="23" s="1"/>
  <c r="I408" i="23"/>
  <c r="K242" i="23" l="1"/>
  <c r="K78" i="23"/>
  <c r="K400" i="23" s="1"/>
  <c r="K342" i="23"/>
  <c r="K90" i="23"/>
  <c r="K547" i="23" s="1"/>
  <c r="K89" i="23"/>
  <c r="K221" i="23"/>
  <c r="K248" i="23"/>
  <c r="K224" i="23"/>
  <c r="K236" i="23"/>
  <c r="K477" i="23"/>
  <c r="K475" i="23" s="1"/>
  <c r="K474" i="23" s="1"/>
  <c r="K471" i="23" s="1"/>
  <c r="K476" i="23"/>
  <c r="K239" i="23"/>
  <c r="K316" i="23"/>
  <c r="K192" i="23" s="1"/>
  <c r="K208" i="23" s="1"/>
  <c r="K315" i="23"/>
  <c r="K191" i="23" s="1"/>
  <c r="K207" i="23" s="1"/>
  <c r="K161" i="23"/>
  <c r="K238" i="23"/>
  <c r="K247" i="23"/>
  <c r="K244" i="23"/>
  <c r="K241" i="23"/>
  <c r="H465" i="23"/>
  <c r="H415" i="23" s="1"/>
  <c r="H411" i="23" s="1"/>
  <c r="H396" i="23" s="1"/>
  <c r="H165" i="23"/>
  <c r="H425" i="23"/>
  <c r="H422" i="23" s="1"/>
  <c r="H421" i="23" s="1"/>
  <c r="H402" i="23" s="1"/>
  <c r="H398" i="23" s="1"/>
  <c r="H229" i="23"/>
  <c r="H257" i="23" s="1"/>
  <c r="H259" i="23" s="1"/>
  <c r="H10" i="23"/>
  <c r="H333" i="23"/>
  <c r="H8" i="23" s="1"/>
  <c r="E90" i="23"/>
  <c r="E547" i="23" s="1"/>
  <c r="E161" i="23"/>
  <c r="E163" i="23" s="1"/>
  <c r="E349" i="23"/>
  <c r="E347" i="23" s="1"/>
  <c r="E345" i="23"/>
  <c r="E343" i="23" s="1"/>
  <c r="E477" i="23"/>
  <c r="E475" i="23" s="1"/>
  <c r="E474" i="23" s="1"/>
  <c r="E471" i="23" s="1"/>
  <c r="E476" i="23"/>
  <c r="E78" i="23"/>
  <c r="E79" i="23"/>
  <c r="E546" i="23"/>
  <c r="E443" i="23"/>
  <c r="E261" i="23"/>
  <c r="E262" i="23" s="1"/>
  <c r="E252" i="23"/>
  <c r="E253" i="23"/>
  <c r="I282" i="23"/>
  <c r="J199" i="23"/>
  <c r="J529" i="23"/>
  <c r="J460" i="23"/>
  <c r="J61" i="23"/>
  <c r="J85" i="23"/>
  <c r="J106" i="23"/>
  <c r="J107" i="23"/>
  <c r="I35" i="23"/>
  <c r="I68" i="23" s="1"/>
  <c r="I478" i="23"/>
  <c r="I461" i="23"/>
  <c r="I458" i="23" s="1"/>
  <c r="I457" i="23" s="1"/>
  <c r="I454" i="23" s="1"/>
  <c r="I336" i="23" s="1"/>
  <c r="I11" i="23" s="1"/>
  <c r="I203" i="23"/>
  <c r="I65" i="23"/>
  <c r="I225" i="23" s="1"/>
  <c r="I204" i="23"/>
  <c r="I64" i="23"/>
  <c r="I221" i="23"/>
  <c r="I86" i="23"/>
  <c r="I111" i="23"/>
  <c r="I110" i="23"/>
  <c r="I128" i="23"/>
  <c r="K439" i="23" l="1"/>
  <c r="K538" i="23"/>
  <c r="K394" i="23"/>
  <c r="K339" i="23"/>
  <c r="K468" i="23"/>
  <c r="K467" i="23" s="1"/>
  <c r="K163" i="23"/>
  <c r="K162" i="23"/>
  <c r="K130" i="23"/>
  <c r="K144" i="23"/>
  <c r="K133" i="23"/>
  <c r="K147" i="23"/>
  <c r="K141" i="23"/>
  <c r="K156" i="23"/>
  <c r="K153" i="23"/>
  <c r="K150" i="23"/>
  <c r="K232" i="23"/>
  <c r="K546" i="23"/>
  <c r="K540" i="23" s="1"/>
  <c r="K443" i="23"/>
  <c r="K235" i="23"/>
  <c r="H539" i="23"/>
  <c r="H535" i="23" s="1"/>
  <c r="H534" i="23" s="1"/>
  <c r="H410" i="23"/>
  <c r="H407" i="23" s="1"/>
  <c r="H406" i="23" s="1"/>
  <c r="H395" i="23" s="1"/>
  <c r="H392" i="23" s="1"/>
  <c r="H390" i="23" s="1"/>
  <c r="H14" i="23" s="1"/>
  <c r="H258" i="23"/>
  <c r="H372" i="23" s="1"/>
  <c r="H370" i="23" s="1"/>
  <c r="H379" i="23"/>
  <c r="H377" i="23" s="1"/>
  <c r="H356" i="23"/>
  <c r="H354" i="23" s="1"/>
  <c r="H367" i="23"/>
  <c r="H365" i="23" s="1"/>
  <c r="E342" i="23"/>
  <c r="E540" i="23"/>
  <c r="E254" i="23"/>
  <c r="E256" i="23" s="1"/>
  <c r="E144" i="23"/>
  <c r="E150" i="23"/>
  <c r="E141" i="23"/>
  <c r="E147" i="23"/>
  <c r="E153" i="23"/>
  <c r="E156" i="23"/>
  <c r="E130" i="23"/>
  <c r="E133" i="23"/>
  <c r="E162" i="23"/>
  <c r="E339" i="23"/>
  <c r="E468" i="23"/>
  <c r="E467" i="23" s="1"/>
  <c r="F205" i="23"/>
  <c r="F112" i="23"/>
  <c r="F86" i="23"/>
  <c r="E394" i="23"/>
  <c r="E538" i="23"/>
  <c r="E439" i="23"/>
  <c r="E436" i="23" s="1"/>
  <c r="E400" i="23"/>
  <c r="G205" i="23"/>
  <c r="G112" i="23"/>
  <c r="G86" i="23"/>
  <c r="G203" i="23"/>
  <c r="G65" i="23"/>
  <c r="G478" i="23"/>
  <c r="G110" i="23"/>
  <c r="G64" i="23"/>
  <c r="G35" i="23"/>
  <c r="G111" i="23"/>
  <c r="G282" i="23"/>
  <c r="G432" i="23"/>
  <c r="G461" i="23"/>
  <c r="G458" i="23" s="1"/>
  <c r="G457" i="23" s="1"/>
  <c r="G454" i="23" s="1"/>
  <c r="F203" i="23"/>
  <c r="F65" i="23"/>
  <c r="F110" i="23"/>
  <c r="F204" i="23"/>
  <c r="F64" i="23"/>
  <c r="F35" i="23"/>
  <c r="F80" i="23" s="1"/>
  <c r="F111" i="23"/>
  <c r="F478" i="23"/>
  <c r="F282" i="23"/>
  <c r="F461" i="23"/>
  <c r="F458" i="23" s="1"/>
  <c r="F457" i="23" s="1"/>
  <c r="F454" i="23" s="1"/>
  <c r="I67" i="23"/>
  <c r="I72" i="23" s="1"/>
  <c r="I433" i="23" s="1"/>
  <c r="I429" i="23" s="1"/>
  <c r="I428" i="23" s="1"/>
  <c r="I426" i="23" s="1"/>
  <c r="I403" i="23" s="1"/>
  <c r="I294" i="23"/>
  <c r="I214" i="23" s="1"/>
  <c r="I248" i="23" s="1"/>
  <c r="I120" i="23"/>
  <c r="I140" i="23" s="1"/>
  <c r="I233" i="23"/>
  <c r="J128" i="23"/>
  <c r="J205" i="23"/>
  <c r="J112" i="23"/>
  <c r="J86" i="23"/>
  <c r="J461" i="23"/>
  <c r="J458" i="23" s="1"/>
  <c r="J457" i="23" s="1"/>
  <c r="J454" i="23" s="1"/>
  <c r="J282" i="23"/>
  <c r="J65" i="23"/>
  <c r="J35" i="23"/>
  <c r="J80" i="23" s="1"/>
  <c r="J478" i="23"/>
  <c r="J64" i="23"/>
  <c r="J111" i="23"/>
  <c r="J203" i="23"/>
  <c r="J110" i="23"/>
  <c r="J432" i="23"/>
  <c r="I131" i="23"/>
  <c r="I132" i="23"/>
  <c r="I62" i="23"/>
  <c r="I84" i="23"/>
  <c r="I442" i="23" s="1"/>
  <c r="I82" i="23"/>
  <c r="I497" i="23"/>
  <c r="I496" i="23" s="1"/>
  <c r="I493" i="23" s="1"/>
  <c r="I490" i="23" s="1"/>
  <c r="I489" i="23" s="1"/>
  <c r="I488" i="23" s="1"/>
  <c r="I486" i="23" s="1"/>
  <c r="I15" i="23" s="1"/>
  <c r="I80" i="23"/>
  <c r="I544" i="23" s="1"/>
  <c r="I284" i="23"/>
  <c r="I280" i="23" s="1"/>
  <c r="I224" i="23"/>
  <c r="I516" i="23"/>
  <c r="I515" i="23" s="1"/>
  <c r="I512" i="23" s="1"/>
  <c r="I509" i="23" s="1"/>
  <c r="I508" i="23" s="1"/>
  <c r="I507" i="23" s="1"/>
  <c r="I502" i="23" s="1"/>
  <c r="I451" i="23"/>
  <c r="I450" i="23" s="1"/>
  <c r="I368" i="23" s="1"/>
  <c r="I335" i="23"/>
  <c r="I9" i="23" s="1"/>
  <c r="K260" i="23" l="1"/>
  <c r="K261" i="23" s="1"/>
  <c r="K262" i="23" s="1"/>
  <c r="K436" i="23"/>
  <c r="K425" i="23" s="1"/>
  <c r="K227" i="23"/>
  <c r="K228" i="23" s="1"/>
  <c r="K136" i="23"/>
  <c r="K164" i="23" s="1"/>
  <c r="K466" i="23"/>
  <c r="K465" i="23"/>
  <c r="K415" i="23" s="1"/>
  <c r="K411" i="23" s="1"/>
  <c r="K12" i="23"/>
  <c r="K338" i="23"/>
  <c r="H360" i="23"/>
  <c r="H358" i="23" s="1"/>
  <c r="H353" i="23" s="1"/>
  <c r="H383" i="23"/>
  <c r="H381" i="23" s="1"/>
  <c r="H376" i="23" s="1"/>
  <c r="H364" i="23"/>
  <c r="E246" i="23"/>
  <c r="E234" i="23"/>
  <c r="E223" i="23"/>
  <c r="E255" i="23"/>
  <c r="E54" i="23" s="1"/>
  <c r="E55" i="23" s="1"/>
  <c r="E249" i="23"/>
  <c r="E240" i="23"/>
  <c r="E237" i="23"/>
  <c r="E243" i="23"/>
  <c r="E226" i="23"/>
  <c r="E136" i="23"/>
  <c r="E164" i="23" s="1"/>
  <c r="E166" i="23" s="1"/>
  <c r="F516" i="23"/>
  <c r="F497" i="23"/>
  <c r="F239" i="23"/>
  <c r="F236" i="23"/>
  <c r="F233" i="23"/>
  <c r="F122" i="23"/>
  <c r="F149" i="23" s="1"/>
  <c r="F67" i="23"/>
  <c r="F143" i="23"/>
  <c r="F140" i="23"/>
  <c r="F284" i="23"/>
  <c r="G131" i="23"/>
  <c r="E425" i="23"/>
  <c r="E422" i="23" s="1"/>
  <c r="E421" i="23" s="1"/>
  <c r="E402" i="23" s="1"/>
  <c r="E398" i="23" s="1"/>
  <c r="G82" i="23"/>
  <c r="F84" i="23"/>
  <c r="F62" i="23"/>
  <c r="F544" i="23"/>
  <c r="F441" i="23"/>
  <c r="F225" i="23"/>
  <c r="F132" i="23"/>
  <c r="F131" i="23"/>
  <c r="G516" i="23"/>
  <c r="G497" i="23"/>
  <c r="G236" i="23"/>
  <c r="G233" i="23"/>
  <c r="G67" i="23"/>
  <c r="G72" i="23" s="1"/>
  <c r="G433" i="23" s="1"/>
  <c r="G429" i="23" s="1"/>
  <c r="G428" i="23" s="1"/>
  <c r="G426" i="23" s="1"/>
  <c r="G403" i="23" s="1"/>
  <c r="G140" i="23"/>
  <c r="G121" i="23"/>
  <c r="G149" i="23" s="1"/>
  <c r="G284" i="23"/>
  <c r="F68" i="23"/>
  <c r="G62" i="23"/>
  <c r="F224" i="23"/>
  <c r="G80" i="23"/>
  <c r="F336" i="23"/>
  <c r="F451" i="23"/>
  <c r="F450" i="23" s="1"/>
  <c r="G225" i="23"/>
  <c r="G132" i="23"/>
  <c r="E465" i="23"/>
  <c r="E415" i="23" s="1"/>
  <c r="E411" i="23" s="1"/>
  <c r="E466" i="23"/>
  <c r="F82" i="23"/>
  <c r="F83" i="23" s="1"/>
  <c r="G336" i="23"/>
  <c r="G451" i="23"/>
  <c r="G450" i="23" s="1"/>
  <c r="G68" i="23"/>
  <c r="G84" i="23"/>
  <c r="E338" i="23"/>
  <c r="E12" i="23"/>
  <c r="I73" i="23"/>
  <c r="I74" i="23" s="1"/>
  <c r="I76" i="23" s="1"/>
  <c r="I143" i="23"/>
  <c r="I146" i="23"/>
  <c r="I152" i="23"/>
  <c r="I182" i="23"/>
  <c r="I235" i="23"/>
  <c r="I236" i="23"/>
  <c r="I139" i="23"/>
  <c r="I134" i="23" s="1"/>
  <c r="I159" i="23" s="1"/>
  <c r="I245" i="23"/>
  <c r="I239" i="23"/>
  <c r="I242" i="23"/>
  <c r="I155" i="23"/>
  <c r="I149" i="23"/>
  <c r="I129" i="23"/>
  <c r="I441" i="23"/>
  <c r="J62" i="23"/>
  <c r="J129" i="23" s="1"/>
  <c r="J82" i="23"/>
  <c r="J236" i="23"/>
  <c r="J284" i="23"/>
  <c r="J233" i="23"/>
  <c r="J497" i="23"/>
  <c r="J140" i="23"/>
  <c r="J121" i="23"/>
  <c r="J149" i="23" s="1"/>
  <c r="J516" i="23"/>
  <c r="J67" i="23"/>
  <c r="J72" i="23" s="1"/>
  <c r="J544" i="23"/>
  <c r="J441" i="23"/>
  <c r="J132" i="23"/>
  <c r="J225" i="23"/>
  <c r="J336" i="23"/>
  <c r="J451" i="23"/>
  <c r="J450" i="23" s="1"/>
  <c r="J68" i="23"/>
  <c r="J131" i="23"/>
  <c r="J84" i="23"/>
  <c r="I545" i="23"/>
  <c r="I281" i="23"/>
  <c r="I279" i="23" s="1"/>
  <c r="I278" i="23" s="1"/>
  <c r="I275" i="23" s="1"/>
  <c r="I272" i="23" s="1"/>
  <c r="I271" i="23" s="1"/>
  <c r="I268" i="23" s="1"/>
  <c r="I287" i="23" s="1"/>
  <c r="I191" i="23" s="1"/>
  <c r="I207" i="23" s="1"/>
  <c r="I232" i="23" s="1"/>
  <c r="I83" i="23"/>
  <c r="I222" i="23"/>
  <c r="I503" i="23"/>
  <c r="I501" i="23" s="1"/>
  <c r="I81" i="23"/>
  <c r="I528" i="23" s="1"/>
  <c r="I524" i="23" s="1"/>
  <c r="I449" i="23"/>
  <c r="I414" i="23" s="1"/>
  <c r="I16" i="23"/>
  <c r="K165" i="23" l="1"/>
  <c r="K166" i="23"/>
  <c r="K10" i="23"/>
  <c r="K333" i="23"/>
  <c r="K8" i="23" s="1"/>
  <c r="K396" i="23"/>
  <c r="K539" i="23"/>
  <c r="K535" i="23" s="1"/>
  <c r="K534" i="23" s="1"/>
  <c r="K252" i="23"/>
  <c r="K253" i="23"/>
  <c r="K420" i="23"/>
  <c r="K401" i="23" s="1"/>
  <c r="K422" i="23"/>
  <c r="K421" i="23" s="1"/>
  <c r="K402" i="23" s="1"/>
  <c r="K410" i="23"/>
  <c r="K407" i="23" s="1"/>
  <c r="K406" i="23" s="1"/>
  <c r="K395" i="23" s="1"/>
  <c r="H13" i="23"/>
  <c r="E165" i="23"/>
  <c r="E229" i="23"/>
  <c r="E257" i="23" s="1"/>
  <c r="E258" i="23" s="1"/>
  <c r="F73" i="23"/>
  <c r="G73" i="23"/>
  <c r="G74" i="23" s="1"/>
  <c r="G69" i="23" s="1"/>
  <c r="G83" i="23"/>
  <c r="F146" i="23"/>
  <c r="F155" i="23"/>
  <c r="G143" i="23"/>
  <c r="G155" i="23"/>
  <c r="G152" i="23"/>
  <c r="G146" i="23"/>
  <c r="E396" i="23"/>
  <c r="E539" i="23"/>
  <c r="E535" i="23" s="1"/>
  <c r="E534" i="23" s="1"/>
  <c r="G544" i="23"/>
  <c r="G441" i="23"/>
  <c r="G81" i="23"/>
  <c r="G528" i="23" s="1"/>
  <c r="G524" i="23" s="1"/>
  <c r="G496" i="23"/>
  <c r="G493" i="23" s="1"/>
  <c r="G490" i="23" s="1"/>
  <c r="G489" i="23" s="1"/>
  <c r="G488" i="23" s="1"/>
  <c r="G486" i="23" s="1"/>
  <c r="G15" i="23" s="1"/>
  <c r="F496" i="23"/>
  <c r="F493" i="23" s="1"/>
  <c r="F490" i="23" s="1"/>
  <c r="F489" i="23" s="1"/>
  <c r="F488" i="23" s="1"/>
  <c r="F486" i="23" s="1"/>
  <c r="F15" i="23" s="1"/>
  <c r="G545" i="23"/>
  <c r="G442" i="23"/>
  <c r="E410" i="23"/>
  <c r="E407" i="23" s="1"/>
  <c r="E406" i="23" s="1"/>
  <c r="E395" i="23" s="1"/>
  <c r="F184" i="23"/>
  <c r="F324" i="23" s="1"/>
  <c r="F216" i="23" s="1"/>
  <c r="F145" i="23"/>
  <c r="F134" i="23" s="1"/>
  <c r="F159" i="23" s="1"/>
  <c r="G515" i="23"/>
  <c r="G512" i="23" s="1"/>
  <c r="G509" i="23" s="1"/>
  <c r="G508" i="23" s="1"/>
  <c r="G507" i="23" s="1"/>
  <c r="G502" i="23" s="1"/>
  <c r="G503" i="23"/>
  <c r="G449" i="23"/>
  <c r="G414" i="23" s="1"/>
  <c r="G368" i="23"/>
  <c r="G335" i="23"/>
  <c r="G11" i="23"/>
  <c r="G222" i="23"/>
  <c r="G129" i="23"/>
  <c r="F442" i="23"/>
  <c r="F545" i="23"/>
  <c r="F280" i="23"/>
  <c r="F281" i="23"/>
  <c r="F279" i="23" s="1"/>
  <c r="F278" i="23" s="1"/>
  <c r="F275" i="23" s="1"/>
  <c r="F272" i="23" s="1"/>
  <c r="F271" i="23" s="1"/>
  <c r="F268" i="23" s="1"/>
  <c r="F315" i="23" s="1"/>
  <c r="F191" i="23" s="1"/>
  <c r="F207" i="23" s="1"/>
  <c r="F72" i="23"/>
  <c r="E10" i="23"/>
  <c r="E333" i="23"/>
  <c r="E8" i="23" s="1"/>
  <c r="F449" i="23"/>
  <c r="F414" i="23" s="1"/>
  <c r="F368" i="23"/>
  <c r="G280" i="23"/>
  <c r="G281" i="23"/>
  <c r="G279" i="23" s="1"/>
  <c r="G278" i="23" s="1"/>
  <c r="G275" i="23" s="1"/>
  <c r="G272" i="23" s="1"/>
  <c r="G271" i="23" s="1"/>
  <c r="G268" i="23" s="1"/>
  <c r="F222" i="23"/>
  <c r="F129" i="23"/>
  <c r="F152" i="23"/>
  <c r="F515" i="23"/>
  <c r="F512" i="23" s="1"/>
  <c r="F509" i="23" s="1"/>
  <c r="F508" i="23" s="1"/>
  <c r="F507" i="23" s="1"/>
  <c r="F502" i="23" s="1"/>
  <c r="F503" i="23"/>
  <c r="F335" i="23"/>
  <c r="F11" i="23"/>
  <c r="G183" i="23"/>
  <c r="G309" i="23" s="1"/>
  <c r="G215" i="23" s="1"/>
  <c r="G142" i="23"/>
  <c r="G134" i="23" s="1"/>
  <c r="G159" i="23" s="1"/>
  <c r="I167" i="23"/>
  <c r="I168" i="23" s="1"/>
  <c r="I169" i="23" s="1"/>
  <c r="J222" i="23"/>
  <c r="J83" i="23"/>
  <c r="J152" i="23"/>
  <c r="J143" i="23"/>
  <c r="J155" i="23"/>
  <c r="J146" i="23"/>
  <c r="J433" i="23"/>
  <c r="J429" i="23" s="1"/>
  <c r="J428" i="23" s="1"/>
  <c r="J426" i="23" s="1"/>
  <c r="J403" i="23" s="1"/>
  <c r="J81" i="23"/>
  <c r="J528" i="23" s="1"/>
  <c r="J524" i="23" s="1"/>
  <c r="J281" i="23"/>
  <c r="J279" i="23" s="1"/>
  <c r="J278" i="23" s="1"/>
  <c r="J275" i="23" s="1"/>
  <c r="J272" i="23" s="1"/>
  <c r="J271" i="23" s="1"/>
  <c r="J268" i="23" s="1"/>
  <c r="J280" i="23"/>
  <c r="J515" i="23"/>
  <c r="J512" i="23" s="1"/>
  <c r="J509" i="23" s="1"/>
  <c r="J508" i="23" s="1"/>
  <c r="J507" i="23" s="1"/>
  <c r="J502" i="23" s="1"/>
  <c r="J503" i="23"/>
  <c r="J368" i="23"/>
  <c r="J449" i="23"/>
  <c r="J414" i="23" s="1"/>
  <c r="J183" i="23"/>
  <c r="J309" i="23" s="1"/>
  <c r="J215" i="23" s="1"/>
  <c r="J142" i="23"/>
  <c r="J134" i="23" s="1"/>
  <c r="J159" i="23" s="1"/>
  <c r="J335" i="23"/>
  <c r="J11" i="23"/>
  <c r="J442" i="23"/>
  <c r="J545" i="23"/>
  <c r="J496" i="23"/>
  <c r="J493" i="23" s="1"/>
  <c r="J490" i="23" s="1"/>
  <c r="J489" i="23" s="1"/>
  <c r="J488" i="23" s="1"/>
  <c r="J486" i="23" s="1"/>
  <c r="J15" i="23" s="1"/>
  <c r="J73" i="23"/>
  <c r="J74" i="23" s="1"/>
  <c r="I69" i="23"/>
  <c r="I66" i="23"/>
  <c r="I63" i="23"/>
  <c r="I75" i="23"/>
  <c r="I87" i="23" s="1"/>
  <c r="I227" i="23"/>
  <c r="I260" i="23"/>
  <c r="I135" i="23"/>
  <c r="I160" i="23" s="1"/>
  <c r="I161" i="23" s="1"/>
  <c r="I88" i="23"/>
  <c r="K392" i="23" l="1"/>
  <c r="K254" i="23"/>
  <c r="K255" i="23" s="1"/>
  <c r="K54" i="23" s="1"/>
  <c r="K55" i="23" s="1"/>
  <c r="K398" i="23"/>
  <c r="E259" i="23"/>
  <c r="E367" i="23" s="1"/>
  <c r="E365" i="23" s="1"/>
  <c r="F74" i="23"/>
  <c r="F63" i="23" s="1"/>
  <c r="E392" i="23"/>
  <c r="E390" i="23" s="1"/>
  <c r="E14" i="23" s="1"/>
  <c r="G167" i="23"/>
  <c r="G168" i="23" s="1"/>
  <c r="G169" i="23" s="1"/>
  <c r="G135" i="23"/>
  <c r="G160" i="23" s="1"/>
  <c r="G161" i="23" s="1"/>
  <c r="F135" i="23"/>
  <c r="F160" i="23" s="1"/>
  <c r="F161" i="23" s="1"/>
  <c r="F144" i="23" s="1"/>
  <c r="F167" i="23"/>
  <c r="F168" i="23" s="1"/>
  <c r="F169" i="23" s="1"/>
  <c r="F232" i="23"/>
  <c r="F241" i="23"/>
  <c r="F248" i="23"/>
  <c r="F245" i="23"/>
  <c r="F242" i="23"/>
  <c r="G238" i="23"/>
  <c r="G248" i="23"/>
  <c r="G245" i="23"/>
  <c r="G239" i="23"/>
  <c r="G242" i="23"/>
  <c r="G9" i="23"/>
  <c r="E383" i="23"/>
  <c r="E381" i="23" s="1"/>
  <c r="E360" i="23"/>
  <c r="E358" i="23" s="1"/>
  <c r="E372" i="23"/>
  <c r="E370" i="23" s="1"/>
  <c r="F433" i="23"/>
  <c r="F429" i="23" s="1"/>
  <c r="F428" i="23" s="1"/>
  <c r="F426" i="23" s="1"/>
  <c r="F403" i="23" s="1"/>
  <c r="F81" i="23"/>
  <c r="F528" i="23" s="1"/>
  <c r="F524" i="23" s="1"/>
  <c r="F9" i="23"/>
  <c r="G76" i="23"/>
  <c r="G63" i="23"/>
  <c r="G75" i="23"/>
  <c r="G66" i="23"/>
  <c r="G501" i="23"/>
  <c r="G16" i="23"/>
  <c r="F501" i="23"/>
  <c r="F16" i="23"/>
  <c r="J135" i="23"/>
  <c r="J160" i="23" s="1"/>
  <c r="J161" i="23" s="1"/>
  <c r="J144" i="23" s="1"/>
  <c r="J16" i="23"/>
  <c r="J501" i="23"/>
  <c r="I77" i="23"/>
  <c r="I90" i="23" s="1"/>
  <c r="I547" i="23" s="1"/>
  <c r="J9" i="23"/>
  <c r="J167" i="23"/>
  <c r="J76" i="23"/>
  <c r="J75" i="23"/>
  <c r="J63" i="23"/>
  <c r="J66" i="23"/>
  <c r="J69" i="23"/>
  <c r="J238" i="23"/>
  <c r="J239" i="23"/>
  <c r="J242" i="23"/>
  <c r="J245" i="23"/>
  <c r="J248" i="23"/>
  <c r="I480" i="23"/>
  <c r="I477" i="23" s="1"/>
  <c r="I475" i="23" s="1"/>
  <c r="I474" i="23" s="1"/>
  <c r="I471" i="23" s="1"/>
  <c r="I89" i="23"/>
  <c r="I546" i="23" s="1"/>
  <c r="I163" i="23"/>
  <c r="I162" i="23"/>
  <c r="I130" i="23"/>
  <c r="I133" i="23"/>
  <c r="I153" i="23"/>
  <c r="I156" i="23"/>
  <c r="I144" i="23"/>
  <c r="I150" i="23"/>
  <c r="I141" i="23"/>
  <c r="I147" i="23"/>
  <c r="I349" i="23"/>
  <c r="I347" i="23" s="1"/>
  <c r="I345" i="23"/>
  <c r="I343" i="23" s="1"/>
  <c r="I261" i="23"/>
  <c r="I262" i="23" s="1"/>
  <c r="I252" i="23"/>
  <c r="I228" i="23"/>
  <c r="I253" i="23" s="1"/>
  <c r="K390" i="23" l="1"/>
  <c r="K14" i="23" s="1"/>
  <c r="K256" i="23"/>
  <c r="K234" i="23"/>
  <c r="K237" i="23"/>
  <c r="K223" i="23"/>
  <c r="K226" i="23"/>
  <c r="K246" i="23"/>
  <c r="K243" i="23"/>
  <c r="K240" i="23"/>
  <c r="K249" i="23"/>
  <c r="F69" i="23"/>
  <c r="F75" i="23"/>
  <c r="F178" i="23" s="1"/>
  <c r="F317" i="23" s="1"/>
  <c r="F193" i="23" s="1"/>
  <c r="F209" i="23" s="1"/>
  <c r="F76" i="23"/>
  <c r="E356" i="23"/>
  <c r="E354" i="23" s="1"/>
  <c r="E353" i="23" s="1"/>
  <c r="E13" i="23" s="1"/>
  <c r="E379" i="23"/>
  <c r="E377" i="23" s="1"/>
  <c r="E376" i="23" s="1"/>
  <c r="F66" i="23"/>
  <c r="G163" i="23"/>
  <c r="G150" i="23"/>
  <c r="G156" i="23"/>
  <c r="G162" i="23"/>
  <c r="G147" i="23"/>
  <c r="G141" i="23"/>
  <c r="G144" i="23"/>
  <c r="G133" i="23"/>
  <c r="G153" i="23"/>
  <c r="G130" i="23"/>
  <c r="F147" i="23"/>
  <c r="F150" i="23"/>
  <c r="F133" i="23"/>
  <c r="F153" i="23"/>
  <c r="F141" i="23"/>
  <c r="F156" i="23"/>
  <c r="F130" i="23"/>
  <c r="F162" i="23"/>
  <c r="F163" i="23"/>
  <c r="G77" i="23"/>
  <c r="F349" i="23"/>
  <c r="F347" i="23" s="1"/>
  <c r="F345" i="23"/>
  <c r="F343" i="23" s="1"/>
  <c r="G480" i="23"/>
  <c r="G88" i="23"/>
  <c r="G179" i="23"/>
  <c r="G304" i="23" s="1"/>
  <c r="G194" i="23" s="1"/>
  <c r="G210" i="23" s="1"/>
  <c r="G176" i="23"/>
  <c r="G190" i="23" s="1"/>
  <c r="G204" i="23" s="1"/>
  <c r="G349" i="23"/>
  <c r="G347" i="23" s="1"/>
  <c r="G345" i="23"/>
  <c r="G343" i="23" s="1"/>
  <c r="G87" i="23"/>
  <c r="G177" i="23"/>
  <c r="G175" i="23"/>
  <c r="G189" i="23" s="1"/>
  <c r="G200" i="23" s="1"/>
  <c r="E364" i="23"/>
  <c r="I79" i="23"/>
  <c r="J77" i="23"/>
  <c r="J79" i="23" s="1"/>
  <c r="I78" i="23"/>
  <c r="J87" i="23"/>
  <c r="J177" i="23"/>
  <c r="J175" i="23"/>
  <c r="J189" i="23" s="1"/>
  <c r="J200" i="23" s="1"/>
  <c r="J88" i="23"/>
  <c r="J179" i="23"/>
  <c r="J304" i="23" s="1"/>
  <c r="J194" i="23" s="1"/>
  <c r="J210" i="23" s="1"/>
  <c r="J480" i="23"/>
  <c r="J176" i="23"/>
  <c r="J190" i="23" s="1"/>
  <c r="J204" i="23" s="1"/>
  <c r="J168" i="23"/>
  <c r="J169" i="23" s="1"/>
  <c r="J162" i="23"/>
  <c r="J163" i="23"/>
  <c r="J130" i="23"/>
  <c r="J133" i="23"/>
  <c r="J156" i="23"/>
  <c r="J150" i="23"/>
  <c r="J147" i="23"/>
  <c r="J141" i="23"/>
  <c r="J153" i="23"/>
  <c r="I476" i="23"/>
  <c r="I342" i="23"/>
  <c r="I254" i="23"/>
  <c r="I243" i="23" s="1"/>
  <c r="I540" i="23"/>
  <c r="I443" i="23"/>
  <c r="I339" i="23"/>
  <c r="I468" i="23"/>
  <c r="I467" i="23" s="1"/>
  <c r="I136" i="23"/>
  <c r="I164" i="23" s="1"/>
  <c r="K229" i="23" l="1"/>
  <c r="K257" i="23" s="1"/>
  <c r="K259" i="23" s="1"/>
  <c r="F87" i="23"/>
  <c r="F480" i="23"/>
  <c r="F477" i="23" s="1"/>
  <c r="F475" i="23" s="1"/>
  <c r="F474" i="23" s="1"/>
  <c r="F471" i="23" s="1"/>
  <c r="F77" i="23"/>
  <c r="F78" i="23" s="1"/>
  <c r="F180" i="23"/>
  <c r="F319" i="23" s="1"/>
  <c r="F195" i="23" s="1"/>
  <c r="F211" i="23" s="1"/>
  <c r="F244" i="23" s="1"/>
  <c r="F88" i="23"/>
  <c r="F136" i="23"/>
  <c r="F164" i="23" s="1"/>
  <c r="F166" i="23" s="1"/>
  <c r="G136" i="23"/>
  <c r="G164" i="23" s="1"/>
  <c r="F342" i="23"/>
  <c r="G241" i="23"/>
  <c r="G477" i="23"/>
  <c r="G475" i="23" s="1"/>
  <c r="G474" i="23" s="1"/>
  <c r="G471" i="23" s="1"/>
  <c r="G476" i="23"/>
  <c r="G90" i="23"/>
  <c r="G547" i="23" s="1"/>
  <c r="G89" i="23"/>
  <c r="F238" i="23"/>
  <c r="G342" i="23"/>
  <c r="G79" i="23"/>
  <c r="G78" i="23"/>
  <c r="G221" i="23"/>
  <c r="G301" i="23"/>
  <c r="G191" i="23" s="1"/>
  <c r="G207" i="23" s="1"/>
  <c r="G302" i="23"/>
  <c r="G192" i="23" s="1"/>
  <c r="G208" i="23" s="1"/>
  <c r="G224" i="23"/>
  <c r="I394" i="23"/>
  <c r="I400" i="23"/>
  <c r="I538" i="23"/>
  <c r="I439" i="23"/>
  <c r="I436" i="23" s="1"/>
  <c r="I425" i="23" s="1"/>
  <c r="I422" i="23" s="1"/>
  <c r="I421" i="23" s="1"/>
  <c r="I402" i="23" s="1"/>
  <c r="J78" i="23"/>
  <c r="J394" i="23" s="1"/>
  <c r="J136" i="23"/>
  <c r="J164" i="23" s="1"/>
  <c r="J349" i="23"/>
  <c r="J347" i="23" s="1"/>
  <c r="J345" i="23"/>
  <c r="J343" i="23" s="1"/>
  <c r="J224" i="23"/>
  <c r="J476" i="23"/>
  <c r="J477" i="23"/>
  <c r="J475" i="23" s="1"/>
  <c r="J474" i="23" s="1"/>
  <c r="J471" i="23" s="1"/>
  <c r="J241" i="23"/>
  <c r="J221" i="23"/>
  <c r="J302" i="23"/>
  <c r="J192" i="23" s="1"/>
  <c r="J208" i="23" s="1"/>
  <c r="J301" i="23"/>
  <c r="J191" i="23" s="1"/>
  <c r="J207" i="23" s="1"/>
  <c r="J90" i="23"/>
  <c r="J547" i="23" s="1"/>
  <c r="J89" i="23"/>
  <c r="I237" i="23"/>
  <c r="I226" i="23"/>
  <c r="I223" i="23"/>
  <c r="I246" i="23"/>
  <c r="I255" i="23"/>
  <c r="I54" i="23" s="1"/>
  <c r="I55" i="23" s="1"/>
  <c r="I256" i="23"/>
  <c r="I240" i="23"/>
  <c r="I234" i="23"/>
  <c r="I249" i="23"/>
  <c r="I338" i="23"/>
  <c r="I12" i="23"/>
  <c r="I466" i="23"/>
  <c r="I465" i="23"/>
  <c r="I415" i="23" s="1"/>
  <c r="I411" i="23" s="1"/>
  <c r="I166" i="23"/>
  <c r="I165" i="23"/>
  <c r="F79" i="23" l="1"/>
  <c r="F400" i="23" s="1"/>
  <c r="K258" i="23"/>
  <c r="K360" i="23" s="1"/>
  <c r="K358" i="23" s="1"/>
  <c r="K379" i="23"/>
  <c r="K377" i="23" s="1"/>
  <c r="K367" i="23"/>
  <c r="K365" i="23" s="1"/>
  <c r="K356" i="23"/>
  <c r="K354" i="23" s="1"/>
  <c r="F476" i="23"/>
  <c r="F90" i="23"/>
  <c r="F547" i="23" s="1"/>
  <c r="F89" i="23"/>
  <c r="F546" i="23" s="1"/>
  <c r="F165" i="23"/>
  <c r="F260" i="23"/>
  <c r="F261" i="23" s="1"/>
  <c r="F262" i="23" s="1"/>
  <c r="G165" i="23"/>
  <c r="G166" i="23"/>
  <c r="F339" i="23"/>
  <c r="F468" i="23"/>
  <c r="F467" i="23" s="1"/>
  <c r="G546" i="23"/>
  <c r="G540" i="23" s="1"/>
  <c r="G443" i="23"/>
  <c r="G538" i="23"/>
  <c r="G400" i="23"/>
  <c r="G394" i="23"/>
  <c r="G439" i="23"/>
  <c r="G232" i="23"/>
  <c r="G339" i="23"/>
  <c r="G468" i="23"/>
  <c r="G467" i="23" s="1"/>
  <c r="F227" i="23"/>
  <c r="F228" i="23" s="1"/>
  <c r="G235" i="23"/>
  <c r="I398" i="23"/>
  <c r="J439" i="23"/>
  <c r="J538" i="23"/>
  <c r="J400" i="23"/>
  <c r="J342" i="23"/>
  <c r="J468" i="23"/>
  <c r="J467" i="23" s="1"/>
  <c r="J339" i="23"/>
  <c r="J166" i="23"/>
  <c r="J165" i="23"/>
  <c r="J443" i="23"/>
  <c r="J546" i="23"/>
  <c r="J540" i="23" s="1"/>
  <c r="J232" i="23"/>
  <c r="J235" i="23"/>
  <c r="I229" i="23"/>
  <c r="I257" i="23" s="1"/>
  <c r="I258" i="23" s="1"/>
  <c r="I396" i="23"/>
  <c r="I539" i="23"/>
  <c r="I535" i="23" s="1"/>
  <c r="I534" i="23" s="1"/>
  <c r="I410" i="23"/>
  <c r="I407" i="23" s="1"/>
  <c r="I406" i="23" s="1"/>
  <c r="I395" i="23" s="1"/>
  <c r="I10" i="23"/>
  <c r="I333" i="23"/>
  <c r="I8" i="23" s="1"/>
  <c r="F538" i="23" l="1"/>
  <c r="F439" i="23"/>
  <c r="F394" i="23"/>
  <c r="F540" i="23"/>
  <c r="K383" i="23"/>
  <c r="K381" i="23" s="1"/>
  <c r="K376" i="23" s="1"/>
  <c r="K372" i="23"/>
  <c r="K370" i="23" s="1"/>
  <c r="K364" i="23" s="1"/>
  <c r="K353" i="23"/>
  <c r="F443" i="23"/>
  <c r="F436" i="23" s="1"/>
  <c r="G436" i="23"/>
  <c r="G425" i="23" s="1"/>
  <c r="G260" i="23"/>
  <c r="G466" i="23"/>
  <c r="G465" i="23"/>
  <c r="G415" i="23" s="1"/>
  <c r="G411" i="23" s="1"/>
  <c r="F252" i="23"/>
  <c r="F253" i="23"/>
  <c r="G338" i="23"/>
  <c r="G12" i="23"/>
  <c r="F465" i="23"/>
  <c r="F415" i="23" s="1"/>
  <c r="F411" i="23" s="1"/>
  <c r="F466" i="23"/>
  <c r="F338" i="23"/>
  <c r="F12" i="23"/>
  <c r="G227" i="23"/>
  <c r="J436" i="23"/>
  <c r="J425" i="23" s="1"/>
  <c r="J260" i="23"/>
  <c r="J261" i="23" s="1"/>
  <c r="J262" i="23" s="1"/>
  <c r="J466" i="23"/>
  <c r="J465" i="23"/>
  <c r="J415" i="23" s="1"/>
  <c r="J411" i="23" s="1"/>
  <c r="J227" i="23"/>
  <c r="J228" i="23" s="1"/>
  <c r="J12" i="23"/>
  <c r="J338" i="23"/>
  <c r="I259" i="23"/>
  <c r="I379" i="23" s="1"/>
  <c r="I377" i="23" s="1"/>
  <c r="I392" i="23"/>
  <c r="I390" i="23" s="1"/>
  <c r="I14" i="23" s="1"/>
  <c r="I360" i="23"/>
  <c r="I358" i="23" s="1"/>
  <c r="I383" i="23"/>
  <c r="I381" i="23" s="1"/>
  <c r="I372" i="23"/>
  <c r="I370" i="23" s="1"/>
  <c r="K13" i="23" l="1"/>
  <c r="G410" i="23"/>
  <c r="G407" i="23" s="1"/>
  <c r="G406" i="23" s="1"/>
  <c r="G395" i="23" s="1"/>
  <c r="F396" i="23"/>
  <c r="F539" i="23"/>
  <c r="F535" i="23" s="1"/>
  <c r="F534" i="23" s="1"/>
  <c r="F410" i="23"/>
  <c r="F407" i="23" s="1"/>
  <c r="F406" i="23" s="1"/>
  <c r="F395" i="23" s="1"/>
  <c r="F425" i="23"/>
  <c r="G420" i="23"/>
  <c r="G401" i="23" s="1"/>
  <c r="G422" i="23"/>
  <c r="G421" i="23" s="1"/>
  <c r="G402" i="23" s="1"/>
  <c r="G10" i="23"/>
  <c r="G333" i="23"/>
  <c r="G8" i="23" s="1"/>
  <c r="G252" i="23"/>
  <c r="G228" i="23"/>
  <c r="G253" i="23" s="1"/>
  <c r="F254" i="23"/>
  <c r="G396" i="23"/>
  <c r="G539" i="23"/>
  <c r="G535" i="23" s="1"/>
  <c r="G534" i="23" s="1"/>
  <c r="F10" i="23"/>
  <c r="F333" i="23"/>
  <c r="F8" i="23" s="1"/>
  <c r="G261" i="23"/>
  <c r="G262" i="23" s="1"/>
  <c r="J410" i="23"/>
  <c r="J407" i="23" s="1"/>
  <c r="J406" i="23" s="1"/>
  <c r="J395" i="23" s="1"/>
  <c r="J10" i="23"/>
  <c r="J333" i="23"/>
  <c r="J8" i="23" s="1"/>
  <c r="J253" i="23"/>
  <c r="J252" i="23"/>
  <c r="J396" i="23"/>
  <c r="J539" i="23"/>
  <c r="J535" i="23" s="1"/>
  <c r="J534" i="23" s="1"/>
  <c r="J420" i="23"/>
  <c r="J401" i="23" s="1"/>
  <c r="J422" i="23"/>
  <c r="J421" i="23" s="1"/>
  <c r="J402" i="23" s="1"/>
  <c r="I376" i="23"/>
  <c r="I367" i="23"/>
  <c r="I365" i="23" s="1"/>
  <c r="I364" i="23" s="1"/>
  <c r="I356" i="23"/>
  <c r="I354" i="23" s="1"/>
  <c r="I353" i="23" s="1"/>
  <c r="G392" i="23" l="1"/>
  <c r="G254" i="23"/>
  <c r="G240" i="23" s="1"/>
  <c r="G398" i="23"/>
  <c r="F392" i="23"/>
  <c r="F420" i="23"/>
  <c r="F401" i="23" s="1"/>
  <c r="F422" i="23"/>
  <c r="F421" i="23" s="1"/>
  <c r="F402" i="23" s="1"/>
  <c r="F256" i="23"/>
  <c r="F255" i="23"/>
  <c r="F54" i="23" s="1"/>
  <c r="F55" i="23" s="1"/>
  <c r="F223" i="23"/>
  <c r="F237" i="23"/>
  <c r="F226" i="23"/>
  <c r="F234" i="23"/>
  <c r="F243" i="23"/>
  <c r="F249" i="23"/>
  <c r="F246" i="23"/>
  <c r="F240" i="23"/>
  <c r="J392" i="23"/>
  <c r="J398" i="23"/>
  <c r="J254" i="23"/>
  <c r="I13" i="23"/>
  <c r="G390" i="23" l="1"/>
  <c r="G14" i="23" s="1"/>
  <c r="G237" i="23"/>
  <c r="G243" i="23"/>
  <c r="G226" i="23"/>
  <c r="G234" i="23"/>
  <c r="G246" i="23"/>
  <c r="G249" i="23"/>
  <c r="G255" i="23"/>
  <c r="G54" i="23" s="1"/>
  <c r="G55" i="23" s="1"/>
  <c r="G223" i="23"/>
  <c r="G256" i="23"/>
  <c r="F398" i="23"/>
  <c r="F390" i="23" s="1"/>
  <c r="F14" i="23" s="1"/>
  <c r="F229" i="23"/>
  <c r="F257" i="23" s="1"/>
  <c r="J390" i="23"/>
  <c r="J14" i="23" s="1"/>
  <c r="J256" i="23"/>
  <c r="J255" i="23"/>
  <c r="J54" i="23" s="1"/>
  <c r="J55" i="23" s="1"/>
  <c r="J240" i="23"/>
  <c r="J246" i="23"/>
  <c r="J249" i="23"/>
  <c r="J223" i="23"/>
  <c r="J226" i="23"/>
  <c r="J243" i="23"/>
  <c r="J237" i="23"/>
  <c r="J234" i="23"/>
  <c r="G229" i="23" l="1"/>
  <c r="G257" i="23" s="1"/>
  <c r="G259" i="23" s="1"/>
  <c r="F259" i="23"/>
  <c r="F258" i="23"/>
  <c r="J229" i="23"/>
  <c r="J257" i="23" s="1"/>
  <c r="G258" i="23" l="1"/>
  <c r="G360" i="23" s="1"/>
  <c r="G358" i="23" s="1"/>
  <c r="F383" i="23"/>
  <c r="F381" i="23" s="1"/>
  <c r="F360" i="23"/>
  <c r="F358" i="23" s="1"/>
  <c r="F372" i="23"/>
  <c r="F370" i="23" s="1"/>
  <c r="F379" i="23"/>
  <c r="F377" i="23" s="1"/>
  <c r="F356" i="23"/>
  <c r="F354" i="23" s="1"/>
  <c r="F367" i="23"/>
  <c r="F365" i="23" s="1"/>
  <c r="G379" i="23"/>
  <c r="G377" i="23" s="1"/>
  <c r="G356" i="23"/>
  <c r="G354" i="23" s="1"/>
  <c r="G367" i="23"/>
  <c r="G365" i="23" s="1"/>
  <c r="J259" i="23"/>
  <c r="J258" i="23"/>
  <c r="G372" i="23" l="1"/>
  <c r="G370" i="23" s="1"/>
  <c r="G364" i="23" s="1"/>
  <c r="G383" i="23"/>
  <c r="G381" i="23" s="1"/>
  <c r="G376" i="23" s="1"/>
  <c r="F364" i="23"/>
  <c r="F353" i="23"/>
  <c r="F13" i="23" s="1"/>
  <c r="G353" i="23"/>
  <c r="G13" i="23" s="1"/>
  <c r="F376" i="23"/>
  <c r="J372" i="23"/>
  <c r="J370" i="23" s="1"/>
  <c r="J360" i="23"/>
  <c r="J358" i="23" s="1"/>
  <c r="J383" i="23"/>
  <c r="J381" i="23" s="1"/>
  <c r="J379" i="23"/>
  <c r="J377" i="23" s="1"/>
  <c r="J367" i="23"/>
  <c r="J365" i="23" s="1"/>
  <c r="J356" i="23"/>
  <c r="J354" i="23" s="1"/>
  <c r="J376" i="23" l="1"/>
  <c r="J353" i="23"/>
  <c r="J364" i="23"/>
  <c r="J13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Cusson, Benoit</author>
  </authors>
  <commentList>
    <comment ref="C276" authorId="0" shapeId="0" xr:uid="{F210EF26-FD58-4CE0-A41C-C70BB30BB3F4}">
      <text>
        <r>
          <rPr>
            <sz val="9"/>
            <color indexed="81"/>
            <rFont val="Tahoma"/>
            <family val="2"/>
          </rPr>
          <t>Le calcul de l'élancement local s'effectue en considérant F0=Fy même si des soudures sont présentes.</t>
        </r>
      </text>
    </comment>
    <comment ref="C368" authorId="0" shapeId="0" xr:uid="{7D94141E-905C-477D-A6A4-EC3DD53660A7}">
      <text>
        <r>
          <rPr>
            <sz val="9"/>
            <color indexed="81"/>
            <rFont val="Tahoma"/>
            <family val="2"/>
          </rPr>
          <t>On utilise ici F_ de la semelle car l'âme est de classe 1 ou 2 et ne voilera pas avant la semelle.</t>
        </r>
      </text>
    </comment>
    <comment ref="C370" authorId="0" shapeId="0" xr:uid="{C10DAEC8-7423-4AA3-B108-A0B97CCC6B93}">
      <text>
        <r>
          <rPr>
            <sz val="9"/>
            <color indexed="81"/>
            <rFont val="Tahoma"/>
            <family val="2"/>
          </rPr>
          <t>Vérification recommandée par Beaulieu 6.2.3</t>
        </r>
      </text>
    </comment>
    <comment ref="C381" authorId="0" shapeId="0" xr:uid="{8B0B543B-ED32-49EB-9523-97525687343F}">
      <text>
        <r>
          <rPr>
            <sz val="9"/>
            <color indexed="81"/>
            <rFont val="Tahoma"/>
            <family val="2"/>
          </rPr>
          <t>Vérification recommandée par Beaulieu 6.2.3</t>
        </r>
      </text>
    </comment>
    <comment ref="C455" authorId="0" shapeId="0" xr:uid="{84384161-7559-4830-B9EA-CB77904D32D1}">
      <text>
        <r>
          <rPr>
            <sz val="9"/>
            <color indexed="81"/>
            <rFont val="Tahoma"/>
            <family val="2"/>
          </rPr>
          <t>Le calcul de l'élancement local s'effectue en considérant F0=Fy même si des soudures sont présentes.</t>
        </r>
      </text>
    </comment>
    <comment ref="C472" authorId="0" shapeId="0" xr:uid="{F5B80E00-F214-4DD2-A244-9D1C2667A4A5}">
      <text>
        <r>
          <rPr>
            <sz val="9"/>
            <color indexed="81"/>
            <rFont val="Tahoma"/>
            <family val="2"/>
          </rPr>
          <t>Le calcul de l'élancement local s'effectue en considérant F0=Fy même si des soudures sont présentes.</t>
        </r>
      </text>
    </comment>
  </commentList>
</comments>
</file>

<file path=xl/sharedStrings.xml><?xml version="1.0" encoding="utf-8"?>
<sst xmlns="http://schemas.openxmlformats.org/spreadsheetml/2006/main" count="1498" uniqueCount="422">
  <si>
    <t>mm</t>
  </si>
  <si>
    <t>-</t>
  </si>
  <si>
    <t>t</t>
  </si>
  <si>
    <t>Classe</t>
  </si>
  <si>
    <t>L</t>
  </si>
  <si>
    <t>kN</t>
  </si>
  <si>
    <t>kN-m</t>
  </si>
  <si>
    <t>w</t>
  </si>
  <si>
    <t>MPa</t>
  </si>
  <si>
    <t>Module de section sup.</t>
  </si>
  <si>
    <t>a</t>
  </si>
  <si>
    <t>Module de section inf.</t>
  </si>
  <si>
    <t>Longueur libre non-retenue</t>
  </si>
  <si>
    <t>h</t>
  </si>
  <si>
    <t>Hauteur âme</t>
  </si>
  <si>
    <t>Épaisseur âme</t>
  </si>
  <si>
    <t>b</t>
  </si>
  <si>
    <t>Largeur aile supérieure</t>
  </si>
  <si>
    <t>Épaisseur aile supérieure</t>
  </si>
  <si>
    <t>Largeur aile inférieure</t>
  </si>
  <si>
    <t>Épaisseur aile inférieure</t>
  </si>
  <si>
    <t>d</t>
  </si>
  <si>
    <t>Profondeur poutre</t>
  </si>
  <si>
    <t>Moment d'inertie faible</t>
  </si>
  <si>
    <t>Fibre supérieure (comp.)</t>
  </si>
  <si>
    <t>Fibre inférieure (tend.)</t>
  </si>
  <si>
    <t>Propriétés de section</t>
  </si>
  <si>
    <t>y</t>
  </si>
  <si>
    <t>Vr</t>
  </si>
  <si>
    <t>E</t>
  </si>
  <si>
    <t>k</t>
  </si>
  <si>
    <t>Ix</t>
  </si>
  <si>
    <t>Iy</t>
  </si>
  <si>
    <t>oui</t>
  </si>
  <si>
    <t>Ag</t>
  </si>
  <si>
    <t>Fy</t>
  </si>
  <si>
    <t>Résistance à la flexion</t>
  </si>
  <si>
    <t>φy</t>
  </si>
  <si>
    <t>Fwy</t>
  </si>
  <si>
    <t>F_</t>
  </si>
  <si>
    <t>Aw</t>
  </si>
  <si>
    <t>Ω</t>
  </si>
  <si>
    <t>Âmes plates sans raidisseurs</t>
  </si>
  <si>
    <t>F0</t>
  </si>
  <si>
    <t>Module élastique</t>
  </si>
  <si>
    <t>tbf</t>
  </si>
  <si>
    <t>bbf</t>
  </si>
  <si>
    <t>ttf</t>
  </si>
  <si>
    <t>btf</t>
  </si>
  <si>
    <t>non</t>
  </si>
  <si>
    <t>λ_0</t>
  </si>
  <si>
    <t>m = 3 + 0.6 (at / bw) &lt; 5 (retenue une rive, comp. unif.)</t>
  </si>
  <si>
    <t>Fm = Fy - (Fy-Fwy) (Aw/Ag)</t>
  </si>
  <si>
    <t>Z</t>
  </si>
  <si>
    <t>k = 0,9 + 0,1 |1-λ_| ≤ 1 (influence soudures longitudinales)</t>
  </si>
  <si>
    <t>F_ = β - √ (β² - 1/λ_²) (contrainte de flambement normalisée)</t>
  </si>
  <si>
    <t>β = [1 + α (λ_ - λ_0) + λ_²] / 2λ_²</t>
  </si>
  <si>
    <t>λ_ = λ/π√F0/E (élancement normalisé)</t>
  </si>
  <si>
    <t>λ = √Ω/ω * L/ry / 4√(1 + (Lt/bd)²) (élancement global)</t>
  </si>
  <si>
    <t>Classification des membrures en flexion</t>
  </si>
  <si>
    <t>ye</t>
  </si>
  <si>
    <t>Zx</t>
  </si>
  <si>
    <t>yp</t>
  </si>
  <si>
    <t>Abf</t>
  </si>
  <si>
    <t>Ibf</t>
  </si>
  <si>
    <t>Atf</t>
  </si>
  <si>
    <t>Itf</t>
  </si>
  <si>
    <t>Iw</t>
  </si>
  <si>
    <t>Aire totale (ΣAi)</t>
  </si>
  <si>
    <t>At</t>
  </si>
  <si>
    <t>Moment statique (Σ Ai yi)</t>
  </si>
  <si>
    <t>Ms</t>
  </si>
  <si>
    <t>yb</t>
  </si>
  <si>
    <t>yt</t>
  </si>
  <si>
    <t>Moment d'inertie (ΣIxi)</t>
  </si>
  <si>
    <t>Sb</t>
  </si>
  <si>
    <t>St</t>
  </si>
  <si>
    <t>ANP = (Atf-Abf)/2w + h/2 + tbf</t>
  </si>
  <si>
    <t>Module sect plast. = Σ Ai (yi-yp)</t>
  </si>
  <si>
    <t>Unités</t>
  </si>
  <si>
    <t>Référence</t>
  </si>
  <si>
    <t>Calculs intermédiaires</t>
  </si>
  <si>
    <t>Aire semelle inférieure</t>
  </si>
  <si>
    <t>CG aile inférieure</t>
  </si>
  <si>
    <t>Inertie aile inférieure</t>
  </si>
  <si>
    <t>Aire semelle supérieure</t>
  </si>
  <si>
    <t>CG aile supérieure</t>
  </si>
  <si>
    <t>Inertie aile supérieure</t>
  </si>
  <si>
    <t>Aire âme</t>
  </si>
  <si>
    <t>CG âme</t>
  </si>
  <si>
    <t>Inertie âme</t>
  </si>
  <si>
    <t>Dimensions de la poutre</t>
  </si>
  <si>
    <t>MNRL - Toutes classes</t>
  </si>
  <si>
    <t>Mrdévers</t>
  </si>
  <si>
    <t>Limite élastique dans la ZAT</t>
  </si>
  <si>
    <t>Limite élastique</t>
  </si>
  <si>
    <t>Mrclasse</t>
  </si>
  <si>
    <t>MRL - Selon la classe</t>
  </si>
  <si>
    <t>Fsc = F0 F_</t>
  </si>
  <si>
    <t>F0 = 0,6 Fy</t>
  </si>
  <si>
    <t>λ_ = λs/π√F0/E (élancement normalisé)</t>
  </si>
  <si>
    <t>Âme non-raidie</t>
  </si>
  <si>
    <t>Âmes plates avec raidisseurs</t>
  </si>
  <si>
    <t>Âme raidie</t>
  </si>
  <si>
    <t>λs = 1,4 b/w / [1 + 1.75 (b/a)²]^1/2</t>
  </si>
  <si>
    <t>vs = 0,6 Fy w</t>
  </si>
  <si>
    <t>N/mm</t>
  </si>
  <si>
    <t>λs = 1,4 h/w</t>
  </si>
  <si>
    <t>ANE = Ms / At</t>
  </si>
  <si>
    <t>Classe de la section en flexion</t>
  </si>
  <si>
    <t>b = btf / 2</t>
  </si>
  <si>
    <t>t = ttf</t>
  </si>
  <si>
    <t>a = d - ttf/2 - tbf/2</t>
  </si>
  <si>
    <t>F0 = Fy</t>
  </si>
  <si>
    <t>λ = m b / t (élancement local)</t>
  </si>
  <si>
    <t>λ_ = λ/π √F0/E (élancement normalisé)</t>
  </si>
  <si>
    <t>Fc = F_ Fy (contrainte de flambement local)</t>
  </si>
  <si>
    <t>t = w</t>
  </si>
  <si>
    <t>w = w</t>
  </si>
  <si>
    <t>b = d - ttf/2 - tbf/2</t>
  </si>
  <si>
    <t>f2/f1 = - (yb - tbf) / (yt - ttf)</t>
  </si>
  <si>
    <t>m = choix selon f2/f1 (retenue deux rives, flexion propre plan)</t>
  </si>
  <si>
    <t>m = 1.3 / (1 - f2/f1) lorsque f2/f2 &lt; -1</t>
  </si>
  <si>
    <t>m = 1.15 + f2/f1 / 2 lorsque -1 &lt; f2/f2 &lt; 1</t>
  </si>
  <si>
    <t>Semelle comprimée</t>
  </si>
  <si>
    <t>λ_ (élancement normalisé)</t>
  </si>
  <si>
    <t>Âme comprimée</t>
  </si>
  <si>
    <t>Section complète</t>
  </si>
  <si>
    <t>Mrc = φy Z Fy</t>
  </si>
  <si>
    <t>Mrt = φu Zn Fu</t>
  </si>
  <si>
    <t>Zn</t>
  </si>
  <si>
    <t>Fu</t>
  </si>
  <si>
    <t>φu</t>
  </si>
  <si>
    <t>Limite ultime</t>
  </si>
  <si>
    <t>Mrc = φy St Fy</t>
  </si>
  <si>
    <t>Mrt = φu Sbn Fu</t>
  </si>
  <si>
    <t>Sbn</t>
  </si>
  <si>
    <t>Mr1 = min (Mrc ; Mrt)</t>
  </si>
  <si>
    <t>Mr2 = min (Mrc ; Mrt)</t>
  </si>
  <si>
    <t>Résistance à la flexion section classe 1</t>
  </si>
  <si>
    <t>Résistance à la flexion section classe 2</t>
  </si>
  <si>
    <t>Mrc = φy St F_ Fy</t>
  </si>
  <si>
    <t>F_ semelle comprimée</t>
  </si>
  <si>
    <t>Mr3a = min (Mrc ; Mrt)</t>
  </si>
  <si>
    <t>Mr3b = min (Mrc ; Mrt)</t>
  </si>
  <si>
    <t>J</t>
  </si>
  <si>
    <t>I1</t>
  </si>
  <si>
    <t>I2</t>
  </si>
  <si>
    <t>y1</t>
  </si>
  <si>
    <t>y2</t>
  </si>
  <si>
    <t>Cw</t>
  </si>
  <si>
    <t>γ</t>
  </si>
  <si>
    <t>Beaulieu | éq. 5.95</t>
  </si>
  <si>
    <t>Beaulieu | fig. 6.5</t>
  </si>
  <si>
    <t>Beaulieu | fig. 6.23</t>
  </si>
  <si>
    <t>y1 = yt - ttf / 2 (comprimée)</t>
  </si>
  <si>
    <t>y2 = yb - tbf / 2 (tendue)</t>
  </si>
  <si>
    <t>Cw = (y1+y2)² I1 I2 / ( I1 + I2)</t>
  </si>
  <si>
    <t>Élancement global de la poutre fléchie</t>
  </si>
  <si>
    <t>Coefficient d'application de la charge</t>
  </si>
  <si>
    <t>λ = √Ω/ω * √SxL / 4√(Iy (0,04J + Cw/L²)) (élancement global)</t>
  </si>
  <si>
    <t>Sx</t>
  </si>
  <si>
    <t>Coefficient de gradient de moment</t>
  </si>
  <si>
    <t>ω</t>
  </si>
  <si>
    <t>ry</t>
  </si>
  <si>
    <t>Rayon de giration axe faible = √(Iy/A)</t>
  </si>
  <si>
    <t>Cas spécifique section en I</t>
  </si>
  <si>
    <t>Mr = φy Sx k F_ F0</t>
  </si>
  <si>
    <t>a) Fy</t>
  </si>
  <si>
    <t>b) Fc</t>
  </si>
  <si>
    <t>c) Fm</t>
  </si>
  <si>
    <t>d) Fy</t>
  </si>
  <si>
    <t>e) Fwy</t>
  </si>
  <si>
    <t>f) Fm</t>
  </si>
  <si>
    <t>Contrainte de flambement normalisée F_ cas a) à e)</t>
  </si>
  <si>
    <t>Contrainte de flambement normalisée F_ cas f)</t>
  </si>
  <si>
    <t>F0 = plus petit des cas a) à e) applicables</t>
  </si>
  <si>
    <t>Mr = φy Sx F_ F0</t>
  </si>
  <si>
    <t>Résistance à la flexion cas a) à e)</t>
  </si>
  <si>
    <t>Résistance à la flexion cas f)</t>
  </si>
  <si>
    <t>Mrdévers = min [ cas a) à f) ]</t>
  </si>
  <si>
    <t>F0 = cas f) si applicable</t>
  </si>
  <si>
    <t>Cas spécifique poutre unisymétrique</t>
  </si>
  <si>
    <t>Beaulieu | 6.4.6</t>
  </si>
  <si>
    <t>Beaulieu | éq. 6.47</t>
  </si>
  <si>
    <t>γ=0.45 (y1+y2) [2I1/(I1+I2)-1] [1-(Iy/Ix)²]</t>
  </si>
  <si>
    <t>Beaulieu | éq. 6.40</t>
  </si>
  <si>
    <t>M0 = Sx F0</t>
  </si>
  <si>
    <t>Beaulieu | 6.3.1</t>
  </si>
  <si>
    <t>G</t>
  </si>
  <si>
    <t>Beaulieu | éq. 6.45</t>
  </si>
  <si>
    <t>Module élastique en cisaillement</t>
  </si>
  <si>
    <t>Espacement des raidisseurs transversaux</t>
  </si>
  <si>
    <t>φk = φy</t>
  </si>
  <si>
    <t>b = h</t>
  </si>
  <si>
    <t>Vr = min (Vr1 ; Vr2)</t>
  </si>
  <si>
    <t>αtf</t>
  </si>
  <si>
    <t>Sem. sup. (traité therm ou non, soudé ou non)</t>
  </si>
  <si>
    <t>αbf</t>
  </si>
  <si>
    <t>αw</t>
  </si>
  <si>
    <t>Sem. inf. (traité therm ou non, soudé ou non)</t>
  </si>
  <si>
    <t>Âme (traité therm ou non, soudé ou non)</t>
  </si>
  <si>
    <t>αsection</t>
  </si>
  <si>
    <t>Section (traité therm ou non, soudé ou non)</t>
  </si>
  <si>
    <t>Présence soudures longitudinales ? (oui ou non)</t>
  </si>
  <si>
    <t>Classe de l'âme en flexion</t>
  </si>
  <si>
    <t>vr = φy vs</t>
  </si>
  <si>
    <t>Fm = √F_ Fy (résistance post-voilement)</t>
  </si>
  <si>
    <t>Vr = φy h w Fsc</t>
  </si>
  <si>
    <t>Vr1 = φk [2 √(Fsc vs / w) - Fsc] h w</t>
  </si>
  <si>
    <t>Vr2 = vr * h</t>
  </si>
  <si>
    <t>λ_ = √ [M0 / (√ω/Ω * Me)] (élancement normalisé)</t>
  </si>
  <si>
    <t>Me = π/L [ √ (EIyGJ + (π/L)²EIyECw + (γπEIy/L)²) + γπEIy/L ]</t>
  </si>
  <si>
    <t>mm²</t>
  </si>
  <si>
    <t>mm³</t>
  </si>
  <si>
    <t>Const. St-Venant = 1/3 Σ b t³</t>
  </si>
  <si>
    <t>I1 = btf³ ttf / 12 (comprimée)</t>
  </si>
  <si>
    <t>I2 = bbf³ tbf / 12 (tendue)</t>
  </si>
  <si>
    <t>bhaztf</t>
  </si>
  <si>
    <t>bhazbf</t>
  </si>
  <si>
    <t>bhazw</t>
  </si>
  <si>
    <t>Largeur de la ZAT dans la semelle supérieure</t>
  </si>
  <si>
    <t>Largeur de la ZAT dans la semelle inférieure</t>
  </si>
  <si>
    <t>Largeur de la ZAT dans l'âme</t>
  </si>
  <si>
    <t>Matériaux</t>
  </si>
  <si>
    <t>Soudage</t>
  </si>
  <si>
    <t>Dimensions effectives de la poutre</t>
  </si>
  <si>
    <t>ttf1</t>
  </si>
  <si>
    <t>ttf2</t>
  </si>
  <si>
    <t>btf1</t>
  </si>
  <si>
    <t>btf2</t>
  </si>
  <si>
    <t>tbf1</t>
  </si>
  <si>
    <t>tbf2</t>
  </si>
  <si>
    <t>bbf1</t>
  </si>
  <si>
    <t>bbf2</t>
  </si>
  <si>
    <t>w1</t>
  </si>
  <si>
    <t>w2</t>
  </si>
  <si>
    <t>w3</t>
  </si>
  <si>
    <t>w4</t>
  </si>
  <si>
    <t>w5</t>
  </si>
  <si>
    <t>h1</t>
  </si>
  <si>
    <t>h2</t>
  </si>
  <si>
    <t>h3</t>
  </si>
  <si>
    <t>h4</t>
  </si>
  <si>
    <t>h5</t>
  </si>
  <si>
    <t>Réduction des épaisseurs liée au soudage</t>
  </si>
  <si>
    <t>réd. tf2</t>
  </si>
  <si>
    <t>réd. bf2</t>
  </si>
  <si>
    <t>réd. w1</t>
  </si>
  <si>
    <t>réd. w2</t>
  </si>
  <si>
    <t>réd. w3</t>
  </si>
  <si>
    <t>réd. w4</t>
  </si>
  <si>
    <t>réd. w5</t>
  </si>
  <si>
    <t>ttf * réd. tf2</t>
  </si>
  <si>
    <t>tbf * réd. bf2</t>
  </si>
  <si>
    <t>w + 2 bhaztf</t>
  </si>
  <si>
    <t>(btf - btf2) / 2</t>
  </si>
  <si>
    <t>(bbf - bbf2) / 2</t>
  </si>
  <si>
    <t>w + 2 bhazbf</t>
  </si>
  <si>
    <t>w * réd. w1</t>
  </si>
  <si>
    <t>w * réd. w2</t>
  </si>
  <si>
    <t>w * réd. w3</t>
  </si>
  <si>
    <t>w * réd. w4</t>
  </si>
  <si>
    <t>w * réd. w5</t>
  </si>
  <si>
    <t>variable en fonction de la situation</t>
  </si>
  <si>
    <t>Le quatrième onglet du chiffrier permet de visualiser la section efficace</t>
  </si>
  <si>
    <t>Fwy / Fy * c / y ≤ 1 où c/y est selon la situation</t>
  </si>
  <si>
    <t>p</t>
  </si>
  <si>
    <t>Décalage des soudures longi. de la situation #3</t>
  </si>
  <si>
    <t>position yp</t>
  </si>
  <si>
    <t>Position de l'axe neutre plastique dans l'âme</t>
  </si>
  <si>
    <t>Aw1</t>
  </si>
  <si>
    <t>Iw1</t>
  </si>
  <si>
    <t>Aire âme 1</t>
  </si>
  <si>
    <t>CG âme 1</t>
  </si>
  <si>
    <t>Inertie âme 1</t>
  </si>
  <si>
    <t>Aw2</t>
  </si>
  <si>
    <t>Aire âme 2</t>
  </si>
  <si>
    <t>CG âme 2</t>
  </si>
  <si>
    <t>Iw2</t>
  </si>
  <si>
    <t>Inertie âme 2</t>
  </si>
  <si>
    <t>Aw3</t>
  </si>
  <si>
    <t>Aire âme 3</t>
  </si>
  <si>
    <t>y3</t>
  </si>
  <si>
    <t>CG âme 3</t>
  </si>
  <si>
    <t>Iw3</t>
  </si>
  <si>
    <t>Inertie âme 3</t>
  </si>
  <si>
    <t>Aw4</t>
  </si>
  <si>
    <t>Aire âme 4</t>
  </si>
  <si>
    <t>y4</t>
  </si>
  <si>
    <t>CG âme 4</t>
  </si>
  <si>
    <t>Iw4</t>
  </si>
  <si>
    <t>Inertie âme 4</t>
  </si>
  <si>
    <t>Aw5</t>
  </si>
  <si>
    <t>Aire âme 5</t>
  </si>
  <si>
    <t>y5</t>
  </si>
  <si>
    <t>CG âme 5</t>
  </si>
  <si>
    <t>Iw5</t>
  </si>
  <si>
    <t>Inertie âme 5</t>
  </si>
  <si>
    <t>Sous-calculs pour l'âme</t>
  </si>
  <si>
    <t>Fwy / Fy ≤ 1 ou 1 selon la situation</t>
  </si>
  <si>
    <t>Situation</t>
  </si>
  <si>
    <t>Calcul de Mr et Vr pour les poutres en aluminium</t>
  </si>
  <si>
    <t>#1</t>
  </si>
  <si>
    <t>Soudures longitudinales</t>
  </si>
  <si>
    <t>Soudures transversales</t>
  </si>
  <si>
    <r>
      <t>mm</t>
    </r>
    <r>
      <rPr>
        <vertAlign val="superscript"/>
        <sz val="10"/>
        <rFont val="Arial"/>
        <family val="2"/>
      </rPr>
      <t>4</t>
    </r>
  </si>
  <si>
    <r>
      <t>mm</t>
    </r>
    <r>
      <rPr>
        <vertAlign val="superscript"/>
        <sz val="10"/>
        <rFont val="Arial"/>
        <family val="2"/>
      </rPr>
      <t>6</t>
    </r>
  </si>
  <si>
    <r>
      <t>ANP = (Atf-Abf</t>
    </r>
    <r>
      <rPr>
        <sz val="10"/>
        <rFont val="Calibri"/>
        <family val="2"/>
      </rPr>
      <t>±</t>
    </r>
    <r>
      <rPr>
        <sz val="10"/>
        <rFont val="Arial"/>
        <family val="2"/>
      </rPr>
      <t>Ai) / 2wi + yi</t>
    </r>
  </si>
  <si>
    <t>#3</t>
  </si>
  <si>
    <t>2x âme</t>
  </si>
  <si>
    <t>#4</t>
  </si>
  <si>
    <t>4x âme</t>
  </si>
  <si>
    <t>tf, bf, w</t>
  </si>
  <si>
    <t>Résistance à la flexion âme classe 3 (semelle classe 1 ou 2)</t>
  </si>
  <si>
    <t>Résistance à la flexion semelle classe 3 (âme classe 1 ou 2)</t>
  </si>
  <si>
    <t>w6</t>
  </si>
  <si>
    <t>w * réd. w6</t>
  </si>
  <si>
    <t>réd. w6</t>
  </si>
  <si>
    <t>h6</t>
  </si>
  <si>
    <t>Aw6</t>
  </si>
  <si>
    <t>y6</t>
  </si>
  <si>
    <t>Iw6</t>
  </si>
  <si>
    <t>Aire âme 6</t>
  </si>
  <si>
    <t>CG âme 6</t>
  </si>
  <si>
    <t>Inertie âme 6</t>
  </si>
  <si>
    <t>ytf</t>
  </si>
  <si>
    <t>ybf</t>
  </si>
  <si>
    <t>yw</t>
  </si>
  <si>
    <t>Dimensions de base en considérant le soudage seulement</t>
  </si>
  <si>
    <t>Cas où l'âme est séparée en 2 sous-segments</t>
  </si>
  <si>
    <t>min (soudage;élancement)</t>
  </si>
  <si>
    <r>
      <rPr>
        <sz val="10"/>
        <rFont val="Calibri"/>
        <family val="2"/>
      </rPr>
      <t>√</t>
    </r>
    <r>
      <rPr>
        <sz val="10"/>
        <rFont val="Arial"/>
        <family val="2"/>
      </rPr>
      <t>F_</t>
    </r>
  </si>
  <si>
    <t>hc entrée</t>
  </si>
  <si>
    <t>hc calculée</t>
  </si>
  <si>
    <t>Hauteur comprimée de l'âme entrée</t>
  </si>
  <si>
    <t>Hauteur comprimée de l'âme calculée = yt - ttf</t>
  </si>
  <si>
    <t>Élancement local de l'âme comprimée selon la section effective</t>
  </si>
  <si>
    <t>Élancement local de l'âme comprimée selon la section brute</t>
  </si>
  <si>
    <t>Élancement local de la semelle comprimée selon la section brute</t>
  </si>
  <si>
    <t>Réduction de l'épaisseur de l'âme en fonction du voilement local</t>
  </si>
  <si>
    <t>f2/f1 = - (h - hc entrée) / (hc entrée)</t>
  </si>
  <si>
    <t>Convergence</t>
  </si>
  <si>
    <t>hc entrée / hc calculée</t>
  </si>
  <si>
    <t>Itération pour âme classe 3</t>
  </si>
  <si>
    <t>Cas où l'âme est séparée en 4 sous-segments</t>
  </si>
  <si>
    <t>Cas où l'âme est séparée en 6 sous-segments</t>
  </si>
  <si>
    <t>Réduction des épaisseurs liée au soudage et au voilement</t>
  </si>
  <si>
    <t>Mrc = φy Sm Fy</t>
  </si>
  <si>
    <t>Classe âme</t>
  </si>
  <si>
    <t>Classe sem.</t>
  </si>
  <si>
    <t>Classe de la semelle en compression</t>
  </si>
  <si>
    <t>λ_ semelle</t>
  </si>
  <si>
    <t>Élancement normalisé de la semelle comprimée</t>
  </si>
  <si>
    <t>λ_ âme</t>
  </si>
  <si>
    <t>Élancement normalisé de l'âme en flexion</t>
  </si>
  <si>
    <t>1) RÉSUMÉ DES RÉSISTANCES</t>
  </si>
  <si>
    <t>2) ENTRÉE DE DONNÉES</t>
  </si>
  <si>
    <t>3) PROPRIÉTÉS DE SECTION BRUTE</t>
  </si>
  <si>
    <t>4) PROPRIÉTÉS SECTION PLASTIQUE RÉDUITES (SOUDAGE)</t>
  </si>
  <si>
    <t>5) PROPRIÉTÉS SECTION ÉLASTIQUE RÉDUITES (SOUDAGE ET VOILEMENT)</t>
  </si>
  <si>
    <t>6) PARAMÈTRES SPÉCIFIQUES POUR L'ÂME DE CLASSE 3</t>
  </si>
  <si>
    <t>7) MEMBRURES RETENUES CONTRE FLAMBEMENT LATÉRAL</t>
  </si>
  <si>
    <t>8) MEMBRURES NON RETENUES CONTRE FLAMBEMENT LATÉRAL</t>
  </si>
  <si>
    <t>9) FLAMBEMENT LOCAL</t>
  </si>
  <si>
    <t>10) CISAILLEMENT - MEMBRURES EN FLEXION À DEUX SEMELLES</t>
  </si>
  <si>
    <t>11) AUTRES CALCULS D'ÉLANCEMENT POUR INFORMATION</t>
  </si>
  <si>
    <t>S6:19 | 17.12.1</t>
  </si>
  <si>
    <t>S6:19 | 17.9</t>
  </si>
  <si>
    <t>S6:19 | 17.12.3.2</t>
  </si>
  <si>
    <t>S6:19 | 17.12.4.1.2</t>
  </si>
  <si>
    <t>S6:19 | 17.4.2</t>
  </si>
  <si>
    <t>S6:19 | 17.4.1</t>
  </si>
  <si>
    <t>S6:19 | 17.3.2</t>
  </si>
  <si>
    <t>S6:19 | fig. 17.7 + 17.22.3.4.3</t>
  </si>
  <si>
    <t>S6:19 | 17.11.2.3</t>
  </si>
  <si>
    <t>S6:19 | 17.11.2.4</t>
  </si>
  <si>
    <t>S6:19 | 17.8.3.3.1 + voir premier onglet</t>
  </si>
  <si>
    <t>S6:19 | 17.8.3.2.1</t>
  </si>
  <si>
    <t>S6:19 | 17.8.3.2.2</t>
  </si>
  <si>
    <t>S6:19 | 17.8.3</t>
  </si>
  <si>
    <t>S6:19 | 17.8.3.3.1</t>
  </si>
  <si>
    <t>S6:19 | 17.9.1</t>
  </si>
  <si>
    <t>S6:19 | 17.11.2.1</t>
  </si>
  <si>
    <t>S6:19 | 17.9.1.1</t>
  </si>
  <si>
    <t>S6:19 | 17.9.1.2.2</t>
  </si>
  <si>
    <t>S6:19 | 17.3.2 + voir premier onglet pour âme classe 3</t>
  </si>
  <si>
    <t>S6:19 | 17.12.2</t>
  </si>
  <si>
    <t>S6:19 | 17.12.2a)</t>
  </si>
  <si>
    <t>S6:19 | 17.12.2a)i)</t>
  </si>
  <si>
    <t>S6:19 | 17.5.7a)</t>
  </si>
  <si>
    <t>S6:19 | 17.12.2a)ii)</t>
  </si>
  <si>
    <t>S6:19 | 17.5.7b)</t>
  </si>
  <si>
    <t>S6:19 | 17.12.2b)</t>
  </si>
  <si>
    <t>S6:19 | 17.12.2b)i)</t>
  </si>
  <si>
    <t>S6:19 | 17.12.2b)ii)</t>
  </si>
  <si>
    <t>S6:19 | 17.12.2c)</t>
  </si>
  <si>
    <t>S6:19 | 17.12.2c)i)</t>
  </si>
  <si>
    <t>S6:19 | 17.11.2.2</t>
  </si>
  <si>
    <t>S6:19 | 17.11.2.2a)</t>
  </si>
  <si>
    <t>S6:19 | 17.11.2.2b)</t>
  </si>
  <si>
    <t>S6:19 | 17.11.2.2c)</t>
  </si>
  <si>
    <t>S6:19 | 17.11.2.2d)</t>
  </si>
  <si>
    <t>S6:19 | 17.11.2.2e)</t>
  </si>
  <si>
    <t>S6:19 | 17.11.2.2f)</t>
  </si>
  <si>
    <t>S6:19 | 17.8.4.2</t>
  </si>
  <si>
    <t>S6:19 | 17.12.3.2a)</t>
  </si>
  <si>
    <t>S6:19 | 17.9.1.3.2</t>
  </si>
  <si>
    <t>S6:19 | fig. 17.1 c)</t>
  </si>
  <si>
    <t>S6:19 | 17.12.4.1</t>
  </si>
  <si>
    <t>S6:19 | 17.12.4.1.2 et S157-17 | 12.1.2</t>
  </si>
  <si>
    <t>S6:19 | 17.12.4.1.3</t>
  </si>
  <si>
    <t>S6:19 | 17.12.4.1.3a)</t>
  </si>
  <si>
    <t>S6:19 | 17.12.4.1.3b)</t>
  </si>
  <si>
    <t>S6:19 | 17.12.4.1.4a)</t>
  </si>
  <si>
    <t>S6:19 | 17.12.4.1.4</t>
  </si>
  <si>
    <t>S6:19 | 17.12.3.2b)</t>
  </si>
  <si>
    <t>Cours</t>
  </si>
  <si>
    <t>Exercice 2</t>
  </si>
  <si>
    <t>Exercice 3</t>
  </si>
  <si>
    <t>Âme Cl. 3</t>
  </si>
  <si>
    <t>Exercice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</si>
</sst>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-* #,##0.00\ &quot;$&quot;_-;\-* #,##0.00\ &quot;$&quot;_-;_-* &quot;-&quot;??\ &quot;$&quot;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3" fillId="0" borderId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1" fillId="4" borderId="0" xfId="0" applyFont="1" applyFill="1" applyAlignment="1"/>
    <xf numFmtId="11" fontId="1" fillId="4" borderId="0" xfId="0" applyNumberFormat="1" applyFont="1" applyFill="1" applyAlignme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 wrapText="1"/>
    </xf>
    <xf numFmtId="0" fontId="9" fillId="0" borderId="0" xfId="0" applyFont="1" applyAlignment="1"/>
    <xf numFmtId="0" fontId="10" fillId="0" borderId="0" xfId="0" applyFont="1" applyAlignment="1"/>
    <xf numFmtId="0" fontId="1" fillId="0" borderId="0" xfId="0" applyFont="1" applyBorder="1" applyAlignment="1"/>
    <xf numFmtId="0" fontId="11" fillId="0" borderId="0" xfId="0" applyFont="1" applyAlignment="1"/>
    <xf numFmtId="2" fontId="1" fillId="0" borderId="0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/>
    <xf numFmtId="0" fontId="1" fillId="3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/>
    <xf numFmtId="0" fontId="1" fillId="3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6" fontId="1" fillId="3" borderId="0" xfId="0" quotePrefix="1" applyNumberFormat="1" applyFont="1" applyFill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11" fontId="1" fillId="0" borderId="0" xfId="0" applyNumberFormat="1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11" fontId="1" fillId="2" borderId="0" xfId="0" applyNumberFormat="1" applyFont="1" applyFill="1" applyAlignment="1">
      <alignment horizontal="center"/>
    </xf>
    <xf numFmtId="0" fontId="11" fillId="0" borderId="0" xfId="0" applyFont="1" applyFill="1" applyAlignment="1"/>
    <xf numFmtId="0" fontId="10" fillId="0" borderId="0" xfId="0" applyFont="1" applyFill="1" applyAlignment="1"/>
    <xf numFmtId="0" fontId="1" fillId="0" borderId="0" xfId="0" applyFont="1" applyFill="1" applyBorder="1" applyAlignment="1"/>
    <xf numFmtId="11" fontId="1" fillId="0" borderId="0" xfId="0" applyNumberFormat="1" applyFont="1" applyFill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4" borderId="0" xfId="0" applyFont="1" applyFill="1" applyBorder="1" applyAlignment="1"/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2" borderId="0" xfId="0" quotePrefix="1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1" fontId="1" fillId="2" borderId="0" xfId="0" quotePrefix="1" applyNumberFormat="1" applyFont="1" applyFill="1" applyBorder="1" applyAlignment="1">
      <alignment horizontal="center"/>
    </xf>
    <xf numFmtId="0" fontId="1" fillId="0" borderId="0" xfId="0" quotePrefix="1" applyNumberFormat="1" applyFont="1" applyFill="1" applyAlignment="1">
      <alignment horizontal="center"/>
    </xf>
    <xf numFmtId="1" fontId="1" fillId="0" borderId="0" xfId="0" quotePrefix="1" applyNumberFormat="1" applyFont="1" applyFill="1" applyAlignment="1">
      <alignment horizontal="center"/>
    </xf>
    <xf numFmtId="1" fontId="1" fillId="3" borderId="0" xfId="0" quotePrefix="1" applyNumberFormat="1" applyFont="1" applyFill="1" applyAlignment="1">
      <alignment horizontal="center"/>
    </xf>
    <xf numFmtId="2" fontId="1" fillId="0" borderId="0" xfId="0" quotePrefix="1" applyNumberFormat="1" applyFont="1" applyFill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9" fontId="1" fillId="0" borderId="0" xfId="15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" fontId="1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0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6" borderId="0" xfId="0" quotePrefix="1" applyNumberFormat="1" applyFont="1" applyFill="1" applyBorder="1" applyAlignment="1">
      <alignment horizontal="center"/>
    </xf>
  </cellXfs>
  <cellStyles count="16">
    <cellStyle name="Milliers 2" xfId="10" xr:uid="{00000000-0005-0000-0000-000001000000}"/>
    <cellStyle name="Monétaire 2" xfId="2" xr:uid="{00000000-0005-0000-0000-000002000000}"/>
    <cellStyle name="Monétaire 3" xfId="3" xr:uid="{00000000-0005-0000-0000-000003000000}"/>
    <cellStyle name="Monétaire 3 2" xfId="4" xr:uid="{00000000-0005-0000-0000-000004000000}"/>
    <cellStyle name="Monétaire 4" xfId="5" xr:uid="{00000000-0005-0000-0000-000005000000}"/>
    <cellStyle name="Normal" xfId="0" builtinId="0"/>
    <cellStyle name="Normal 2" xfId="1" xr:uid="{00000000-0005-0000-0000-000007000000}"/>
    <cellStyle name="Normal 2 2" xfId="9" xr:uid="{00000000-0005-0000-0000-000008000000}"/>
    <cellStyle name="Normal 3" xfId="6" xr:uid="{00000000-0005-0000-0000-000009000000}"/>
    <cellStyle name="Normal 3 2" xfId="7" xr:uid="{00000000-0005-0000-0000-00000A000000}"/>
    <cellStyle name="Normal 4" xfId="8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A170641D-D244-49DD-911D-2487DBB76687}"/>
    <cellStyle name="Pourcentage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66E5-3716-4A96-91BF-2A7031FDF25B}">
  <sheetPr>
    <pageSetUpPr fitToPage="1"/>
  </sheetPr>
  <dimension ref="A1:N554"/>
  <sheetViews>
    <sheetView tabSelected="1" zoomScaleNormal="100" zoomScaleSheetLayoutView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customHeight="1" outlineLevelRow="1" x14ac:dyDescent="0.2"/>
  <cols>
    <col min="1" max="1" width="11.42578125" style="10"/>
    <col min="2" max="2" width="11.42578125" style="10" customWidth="1"/>
    <col min="3" max="3" width="46.28515625" style="10" customWidth="1"/>
    <col min="4" max="4" width="2.85546875" style="8" customWidth="1"/>
    <col min="5" max="11" width="11.42578125" style="12" customWidth="1"/>
    <col min="12" max="12" width="2.85546875" style="8" customWidth="1"/>
    <col min="13" max="13" width="11.42578125" style="10"/>
    <col min="14" max="14" width="61" style="10" bestFit="1" customWidth="1"/>
    <col min="15" max="16384" width="11.42578125" style="10"/>
  </cols>
  <sheetData>
    <row r="1" spans="1:14" ht="18" x14ac:dyDescent="0.25">
      <c r="A1" s="14" t="s">
        <v>302</v>
      </c>
      <c r="E1" s="12" t="s">
        <v>417</v>
      </c>
      <c r="F1" s="12" t="s">
        <v>417</v>
      </c>
      <c r="G1" s="12" t="s">
        <v>417</v>
      </c>
      <c r="H1" s="12" t="s">
        <v>417</v>
      </c>
      <c r="I1" s="12" t="s">
        <v>417</v>
      </c>
      <c r="J1" s="12" t="s">
        <v>417</v>
      </c>
      <c r="K1" s="12" t="s">
        <v>417</v>
      </c>
    </row>
    <row r="2" spans="1:14" ht="15" customHeight="1" x14ac:dyDescent="0.2">
      <c r="B2" s="10" t="s">
        <v>301</v>
      </c>
      <c r="E2" s="12" t="s">
        <v>303</v>
      </c>
      <c r="F2" s="12" t="s">
        <v>309</v>
      </c>
      <c r="G2" s="12" t="s">
        <v>311</v>
      </c>
      <c r="H2" s="12" t="s">
        <v>303</v>
      </c>
      <c r="I2" s="12" t="s">
        <v>418</v>
      </c>
      <c r="J2" s="12" t="s">
        <v>419</v>
      </c>
      <c r="K2" s="12" t="s">
        <v>421</v>
      </c>
      <c r="M2" s="10" t="s">
        <v>79</v>
      </c>
      <c r="N2" s="10" t="s">
        <v>80</v>
      </c>
    </row>
    <row r="3" spans="1:14" ht="15" customHeight="1" x14ac:dyDescent="0.2">
      <c r="B3" s="10" t="s">
        <v>304</v>
      </c>
      <c r="E3" s="13" t="s">
        <v>1</v>
      </c>
      <c r="F3" s="13" t="s">
        <v>310</v>
      </c>
      <c r="G3" s="13" t="s">
        <v>312</v>
      </c>
      <c r="H3" s="13" t="s">
        <v>420</v>
      </c>
      <c r="I3" s="13" t="s">
        <v>1</v>
      </c>
      <c r="J3" s="13" t="s">
        <v>312</v>
      </c>
      <c r="K3" s="13" t="s">
        <v>312</v>
      </c>
    </row>
    <row r="4" spans="1:14" ht="15" customHeight="1" x14ac:dyDescent="0.2">
      <c r="B4" s="10" t="s">
        <v>305</v>
      </c>
      <c r="E4" s="13" t="s">
        <v>1</v>
      </c>
      <c r="F4" s="13" t="s">
        <v>1</v>
      </c>
      <c r="G4" s="13" t="s">
        <v>1</v>
      </c>
      <c r="H4" s="13" t="s">
        <v>1</v>
      </c>
      <c r="I4" s="13" t="s">
        <v>1</v>
      </c>
      <c r="J4" s="13" t="s">
        <v>1</v>
      </c>
      <c r="K4" s="13" t="s">
        <v>313</v>
      </c>
    </row>
    <row r="5" spans="1:14" ht="15" customHeight="1" x14ac:dyDescent="0.2">
      <c r="E5" s="5"/>
      <c r="F5" s="5"/>
      <c r="G5" s="5"/>
      <c r="H5" s="5"/>
      <c r="I5" s="5"/>
      <c r="J5" s="5"/>
      <c r="K5" s="5"/>
    </row>
    <row r="6" spans="1:14" ht="15" customHeight="1" x14ac:dyDescent="0.2">
      <c r="E6" s="5"/>
      <c r="F6" s="5"/>
      <c r="G6" s="5"/>
      <c r="H6" s="5"/>
      <c r="I6" s="5"/>
      <c r="J6" s="5"/>
      <c r="K6" s="5"/>
    </row>
    <row r="7" spans="1:14" ht="15" customHeight="1" x14ac:dyDescent="0.2">
      <c r="A7" s="15" t="s">
        <v>356</v>
      </c>
    </row>
    <row r="8" spans="1:14" ht="15" hidden="1" customHeight="1" outlineLevel="1" x14ac:dyDescent="0.2">
      <c r="B8" s="10" t="s">
        <v>3</v>
      </c>
      <c r="C8" s="11" t="s">
        <v>109</v>
      </c>
      <c r="E8" s="3">
        <f t="shared" ref="E8:J8" si="0">E333</f>
        <v>2</v>
      </c>
      <c r="F8" s="3">
        <f t="shared" si="0"/>
        <v>2</v>
      </c>
      <c r="G8" s="3">
        <f t="shared" si="0"/>
        <v>2</v>
      </c>
      <c r="H8" s="3">
        <f t="shared" si="0"/>
        <v>3</v>
      </c>
      <c r="I8" s="3">
        <f t="shared" si="0"/>
        <v>3</v>
      </c>
      <c r="J8" s="3">
        <f t="shared" si="0"/>
        <v>3</v>
      </c>
      <c r="K8" s="3">
        <f>K333</f>
        <v>3</v>
      </c>
      <c r="N8" s="11" t="s">
        <v>367</v>
      </c>
    </row>
    <row r="9" spans="1:14" ht="15" hidden="1" customHeight="1" outlineLevel="1" x14ac:dyDescent="0.2">
      <c r="B9" s="10" t="s">
        <v>350</v>
      </c>
      <c r="C9" s="11" t="s">
        <v>351</v>
      </c>
      <c r="E9" s="3">
        <f t="shared" ref="E9:K9" si="1">E335</f>
        <v>2</v>
      </c>
      <c r="F9" s="3">
        <f t="shared" si="1"/>
        <v>2</v>
      </c>
      <c r="G9" s="3">
        <f t="shared" si="1"/>
        <v>2</v>
      </c>
      <c r="H9" s="3">
        <f t="shared" si="1"/>
        <v>2</v>
      </c>
      <c r="I9" s="3">
        <f t="shared" si="1"/>
        <v>3</v>
      </c>
      <c r="J9" s="3">
        <f t="shared" si="1"/>
        <v>3</v>
      </c>
      <c r="K9" s="3">
        <f t="shared" si="1"/>
        <v>3</v>
      </c>
      <c r="N9" s="11" t="s">
        <v>367</v>
      </c>
    </row>
    <row r="10" spans="1:14" ht="15" hidden="1" customHeight="1" outlineLevel="1" x14ac:dyDescent="0.2">
      <c r="B10" s="10" t="s">
        <v>349</v>
      </c>
      <c r="C10" s="11" t="s">
        <v>205</v>
      </c>
      <c r="E10" s="3">
        <f t="shared" ref="E10:K10" si="2">E338</f>
        <v>2</v>
      </c>
      <c r="F10" s="3">
        <f t="shared" si="2"/>
        <v>2</v>
      </c>
      <c r="G10" s="3">
        <f t="shared" si="2"/>
        <v>2</v>
      </c>
      <c r="H10" s="3">
        <f t="shared" si="2"/>
        <v>3</v>
      </c>
      <c r="I10" s="3">
        <f t="shared" si="2"/>
        <v>2</v>
      </c>
      <c r="J10" s="3">
        <f t="shared" si="2"/>
        <v>2</v>
      </c>
      <c r="K10" s="3">
        <f t="shared" si="2"/>
        <v>2</v>
      </c>
      <c r="N10" s="11" t="s">
        <v>367</v>
      </c>
    </row>
    <row r="11" spans="1:14" ht="15" hidden="1" customHeight="1" outlineLevel="1" x14ac:dyDescent="0.2">
      <c r="B11" s="10" t="s">
        <v>352</v>
      </c>
      <c r="C11" s="11" t="s">
        <v>353</v>
      </c>
      <c r="E11" s="29">
        <f t="shared" ref="E11:K11" si="3">E336</f>
        <v>0.37276636937640073</v>
      </c>
      <c r="F11" s="29">
        <f t="shared" si="3"/>
        <v>0.37276636937640073</v>
      </c>
      <c r="G11" s="29">
        <f t="shared" si="3"/>
        <v>0.37276636937640073</v>
      </c>
      <c r="H11" s="29">
        <f t="shared" si="3"/>
        <v>0.37276636937640073</v>
      </c>
      <c r="I11" s="29">
        <f t="shared" si="3"/>
        <v>0.74553273875280146</v>
      </c>
      <c r="J11" s="29">
        <f t="shared" si="3"/>
        <v>0.74553273875280146</v>
      </c>
      <c r="K11" s="29">
        <f t="shared" si="3"/>
        <v>0.62127728229400125</v>
      </c>
      <c r="N11" s="10" t="s">
        <v>368</v>
      </c>
    </row>
    <row r="12" spans="1:14" ht="15" hidden="1" customHeight="1" outlineLevel="1" x14ac:dyDescent="0.2">
      <c r="B12" s="10" t="s">
        <v>354</v>
      </c>
      <c r="C12" s="11" t="s">
        <v>355</v>
      </c>
      <c r="E12" s="29">
        <f t="shared" ref="E12:K12" si="4">E339</f>
        <v>0.40887811140973951</v>
      </c>
      <c r="F12" s="29">
        <f t="shared" si="4"/>
        <v>0.40887811140973951</v>
      </c>
      <c r="G12" s="29">
        <f t="shared" si="4"/>
        <v>0.40887811140973951</v>
      </c>
      <c r="H12" s="29">
        <f t="shared" si="4"/>
        <v>1.0221952785243489</v>
      </c>
      <c r="I12" s="29">
        <f t="shared" si="4"/>
        <v>0.41644992828769772</v>
      </c>
      <c r="J12" s="29">
        <f t="shared" si="4"/>
        <v>0.41644992828769772</v>
      </c>
      <c r="K12" s="29">
        <f t="shared" si="4"/>
        <v>0.47005839178364134</v>
      </c>
      <c r="N12" s="10" t="s">
        <v>368</v>
      </c>
    </row>
    <row r="13" spans="1:14" ht="15" hidden="1" customHeight="1" outlineLevel="1" x14ac:dyDescent="0.2">
      <c r="A13" s="16"/>
      <c r="B13" s="10" t="s">
        <v>96</v>
      </c>
      <c r="C13" s="11" t="s">
        <v>97</v>
      </c>
      <c r="E13" s="43">
        <f t="shared" ref="E13:K13" si="5">IF(E8=1,E342,IF(E8=2,E353,IF(E8=3,IF(AND(E10=3,E9&lt;&gt;3),E376,IF(AND(E9=3,E10&lt;&gt;3),E364,"le chiffrier ne couvre pas le cas où la semelle et l'âme sont de classe 3")))))</f>
        <v>889.91964285714278</v>
      </c>
      <c r="F13" s="43">
        <f t="shared" si="5"/>
        <v>864.48803174603165</v>
      </c>
      <c r="G13" s="43">
        <f t="shared" si="5"/>
        <v>514.9966219625851</v>
      </c>
      <c r="H13" s="43">
        <f t="shared" si="5"/>
        <v>738.30287644122882</v>
      </c>
      <c r="I13" s="43">
        <f t="shared" si="5"/>
        <v>614.78683035714278</v>
      </c>
      <c r="J13" s="43">
        <f t="shared" si="5"/>
        <v>365.73378528043241</v>
      </c>
      <c r="K13" s="43">
        <f t="shared" si="5"/>
        <v>1446.6797461626352</v>
      </c>
      <c r="M13" s="10" t="s">
        <v>6</v>
      </c>
      <c r="N13" s="10" t="s">
        <v>369</v>
      </c>
    </row>
    <row r="14" spans="1:14" ht="15" hidden="1" customHeight="1" outlineLevel="1" x14ac:dyDescent="0.2">
      <c r="B14" s="10" t="s">
        <v>93</v>
      </c>
      <c r="C14" s="11" t="s">
        <v>92</v>
      </c>
      <c r="E14" s="43">
        <f t="shared" ref="E14:J14" si="6">E390</f>
        <v>591.33383741792977</v>
      </c>
      <c r="F14" s="43">
        <f t="shared" si="6"/>
        <v>450.56002527383657</v>
      </c>
      <c r="G14" s="43">
        <f t="shared" si="6"/>
        <v>401.77577642514592</v>
      </c>
      <c r="H14" s="43">
        <f t="shared" si="6"/>
        <v>492.95599453120286</v>
      </c>
      <c r="I14" s="43">
        <f t="shared" si="6"/>
        <v>322.01254893138582</v>
      </c>
      <c r="J14" s="43">
        <f t="shared" si="6"/>
        <v>246.77579801047975</v>
      </c>
      <c r="K14" s="43">
        <f>K390</f>
        <v>1293.8357037392957</v>
      </c>
      <c r="M14" s="10" t="s">
        <v>6</v>
      </c>
      <c r="N14" s="10" t="s">
        <v>369</v>
      </c>
    </row>
    <row r="15" spans="1:14" ht="15" hidden="1" customHeight="1" outlineLevel="1" x14ac:dyDescent="0.2">
      <c r="B15" s="10" t="s">
        <v>28</v>
      </c>
      <c r="C15" s="11" t="s">
        <v>101</v>
      </c>
      <c r="E15" s="3">
        <f t="shared" ref="E15:J15" si="7">E486</f>
        <v>1599.7585437936857</v>
      </c>
      <c r="F15" s="3">
        <f t="shared" si="7"/>
        <v>1527.3600635611976</v>
      </c>
      <c r="G15" s="3">
        <f t="shared" si="7"/>
        <v>1527.3600635611976</v>
      </c>
      <c r="H15" s="3">
        <f t="shared" si="7"/>
        <v>221.86783735769194</v>
      </c>
      <c r="I15" s="3">
        <f t="shared" si="7"/>
        <v>1643.2558976093228</v>
      </c>
      <c r="J15" s="3">
        <f t="shared" si="7"/>
        <v>1556.1477828218613</v>
      </c>
      <c r="K15" s="3">
        <f>K486</f>
        <v>2537.1208163557931</v>
      </c>
      <c r="M15" s="1" t="s">
        <v>5</v>
      </c>
      <c r="N15" s="10" t="s">
        <v>370</v>
      </c>
    </row>
    <row r="16" spans="1:14" ht="15" hidden="1" customHeight="1" outlineLevel="1" x14ac:dyDescent="0.2">
      <c r="B16" s="10" t="s">
        <v>28</v>
      </c>
      <c r="C16" s="11" t="s">
        <v>103</v>
      </c>
      <c r="E16" s="3">
        <f t="shared" ref="E16:J16" si="8">E502</f>
        <v>1683.748008443016</v>
      </c>
      <c r="F16" s="3">
        <f t="shared" si="8"/>
        <v>1681.0991674585614</v>
      </c>
      <c r="G16" s="3">
        <f t="shared" si="8"/>
        <v>1681.0991674585614</v>
      </c>
      <c r="H16" s="3">
        <f t="shared" si="8"/>
        <v>552.81580496550248</v>
      </c>
      <c r="I16" s="3">
        <f t="shared" si="8"/>
        <v>1748.0075892599657</v>
      </c>
      <c r="J16" s="3">
        <f t="shared" si="8"/>
        <v>1744.1657164455271</v>
      </c>
      <c r="K16" s="3">
        <f>K502</f>
        <v>3023.8847014151415</v>
      </c>
      <c r="M16" s="1" t="s">
        <v>5</v>
      </c>
      <c r="N16" s="10" t="s">
        <v>370</v>
      </c>
    </row>
    <row r="17" spans="1:14" ht="15" customHeight="1" collapsed="1" x14ac:dyDescent="0.2">
      <c r="C17" s="11"/>
    </row>
    <row r="18" spans="1:14" ht="15" customHeight="1" x14ac:dyDescent="0.2">
      <c r="C18" s="11"/>
    </row>
    <row r="19" spans="1:14" ht="15" customHeight="1" x14ac:dyDescent="0.2">
      <c r="A19" s="15" t="s">
        <v>357</v>
      </c>
      <c r="C19" s="11"/>
    </row>
    <row r="20" spans="1:14" ht="15" hidden="1" customHeight="1" outlineLevel="1" x14ac:dyDescent="0.2">
      <c r="C20" s="11"/>
    </row>
    <row r="21" spans="1:14" ht="15" hidden="1" customHeight="1" outlineLevel="1" x14ac:dyDescent="0.2">
      <c r="A21" s="17" t="s">
        <v>224</v>
      </c>
      <c r="C21" s="18"/>
    </row>
    <row r="22" spans="1:14" ht="15" hidden="1" customHeight="1" outlineLevel="1" x14ac:dyDescent="0.2">
      <c r="A22" s="16"/>
      <c r="B22" s="1" t="s">
        <v>35</v>
      </c>
      <c r="C22" s="11" t="s">
        <v>95</v>
      </c>
      <c r="D22" s="19"/>
      <c r="E22" s="20">
        <v>240</v>
      </c>
      <c r="F22" s="20">
        <v>240</v>
      </c>
      <c r="G22" s="20">
        <v>240</v>
      </c>
      <c r="H22" s="20">
        <v>240</v>
      </c>
      <c r="I22" s="20">
        <v>240</v>
      </c>
      <c r="J22" s="20">
        <v>240</v>
      </c>
      <c r="K22" s="20">
        <v>240</v>
      </c>
      <c r="L22" s="19"/>
      <c r="M22" s="21" t="s">
        <v>8</v>
      </c>
      <c r="N22" s="10" t="s">
        <v>371</v>
      </c>
    </row>
    <row r="23" spans="1:14" ht="15" hidden="1" customHeight="1" outlineLevel="1" x14ac:dyDescent="0.2">
      <c r="A23" s="16"/>
      <c r="B23" s="1" t="s">
        <v>131</v>
      </c>
      <c r="C23" s="11" t="s">
        <v>133</v>
      </c>
      <c r="D23" s="19"/>
      <c r="E23" s="20">
        <v>260</v>
      </c>
      <c r="F23" s="20">
        <v>260</v>
      </c>
      <c r="G23" s="20">
        <v>260</v>
      </c>
      <c r="H23" s="20">
        <v>260</v>
      </c>
      <c r="I23" s="20">
        <v>260</v>
      </c>
      <c r="J23" s="20">
        <v>260</v>
      </c>
      <c r="K23" s="20">
        <v>260</v>
      </c>
      <c r="L23" s="19"/>
      <c r="M23" s="21" t="s">
        <v>8</v>
      </c>
      <c r="N23" s="10" t="s">
        <v>371</v>
      </c>
    </row>
    <row r="24" spans="1:14" ht="15" hidden="1" customHeight="1" outlineLevel="1" x14ac:dyDescent="0.2">
      <c r="A24" s="16"/>
      <c r="B24" s="1" t="s">
        <v>38</v>
      </c>
      <c r="C24" s="11" t="s">
        <v>94</v>
      </c>
      <c r="D24" s="19"/>
      <c r="E24" s="20">
        <v>105</v>
      </c>
      <c r="F24" s="20">
        <v>105</v>
      </c>
      <c r="G24" s="20">
        <v>105</v>
      </c>
      <c r="H24" s="20">
        <v>105</v>
      </c>
      <c r="I24" s="20">
        <v>105</v>
      </c>
      <c r="J24" s="20">
        <v>105</v>
      </c>
      <c r="K24" s="20">
        <v>105</v>
      </c>
      <c r="L24" s="19"/>
      <c r="M24" s="21" t="s">
        <v>8</v>
      </c>
      <c r="N24" s="10" t="s">
        <v>371</v>
      </c>
    </row>
    <row r="25" spans="1:14" ht="15" hidden="1" customHeight="1" outlineLevel="1" x14ac:dyDescent="0.2">
      <c r="A25" s="16"/>
      <c r="B25" s="1" t="s">
        <v>29</v>
      </c>
      <c r="C25" s="11" t="s">
        <v>44</v>
      </c>
      <c r="D25" s="19"/>
      <c r="E25" s="20">
        <v>70000</v>
      </c>
      <c r="F25" s="20">
        <v>70000</v>
      </c>
      <c r="G25" s="20">
        <v>70000</v>
      </c>
      <c r="H25" s="20">
        <v>70000</v>
      </c>
      <c r="I25" s="20">
        <v>70000</v>
      </c>
      <c r="J25" s="20">
        <v>70000</v>
      </c>
      <c r="K25" s="20">
        <v>70000</v>
      </c>
      <c r="L25" s="19"/>
      <c r="M25" s="21" t="s">
        <v>8</v>
      </c>
      <c r="N25" s="10" t="s">
        <v>372</v>
      </c>
    </row>
    <row r="26" spans="1:14" ht="15" hidden="1" customHeight="1" outlineLevel="1" x14ac:dyDescent="0.2">
      <c r="A26" s="16"/>
      <c r="B26" s="1" t="s">
        <v>189</v>
      </c>
      <c r="C26" s="11" t="s">
        <v>191</v>
      </c>
      <c r="D26" s="19"/>
      <c r="E26" s="20">
        <v>26000</v>
      </c>
      <c r="F26" s="20">
        <v>26000</v>
      </c>
      <c r="G26" s="20">
        <v>26000</v>
      </c>
      <c r="H26" s="20">
        <v>26000</v>
      </c>
      <c r="I26" s="20">
        <v>26000</v>
      </c>
      <c r="J26" s="20">
        <v>26000</v>
      </c>
      <c r="K26" s="20">
        <v>26000</v>
      </c>
      <c r="L26" s="19"/>
      <c r="M26" s="21" t="s">
        <v>8</v>
      </c>
      <c r="N26" s="10" t="s">
        <v>372</v>
      </c>
    </row>
    <row r="27" spans="1:14" ht="15" hidden="1" customHeight="1" outlineLevel="1" x14ac:dyDescent="0.2">
      <c r="C27" s="11"/>
    </row>
    <row r="28" spans="1:14" ht="15" hidden="1" customHeight="1" outlineLevel="1" x14ac:dyDescent="0.2">
      <c r="A28" s="17" t="s">
        <v>91</v>
      </c>
      <c r="C28" s="18"/>
    </row>
    <row r="29" spans="1:14" ht="15" hidden="1" customHeight="1" outlineLevel="1" x14ac:dyDescent="0.2">
      <c r="B29" s="10" t="s">
        <v>21</v>
      </c>
      <c r="C29" s="11" t="s">
        <v>22</v>
      </c>
      <c r="E29" s="22">
        <v>700</v>
      </c>
      <c r="F29" s="22">
        <v>700</v>
      </c>
      <c r="G29" s="22">
        <v>700</v>
      </c>
      <c r="H29" s="22">
        <v>700</v>
      </c>
      <c r="I29" s="22">
        <v>700</v>
      </c>
      <c r="J29" s="22">
        <v>700</v>
      </c>
      <c r="K29" s="22">
        <v>1000</v>
      </c>
      <c r="M29" s="10" t="s">
        <v>0</v>
      </c>
    </row>
    <row r="30" spans="1:14" ht="15" hidden="1" customHeight="1" outlineLevel="1" x14ac:dyDescent="0.2">
      <c r="B30" s="10" t="s">
        <v>47</v>
      </c>
      <c r="C30" s="11" t="s">
        <v>18</v>
      </c>
      <c r="E30" s="22">
        <v>25</v>
      </c>
      <c r="F30" s="22">
        <v>25</v>
      </c>
      <c r="G30" s="22">
        <v>25</v>
      </c>
      <c r="H30" s="22">
        <v>25</v>
      </c>
      <c r="I30" s="22">
        <v>12.5</v>
      </c>
      <c r="J30" s="22">
        <v>12.5</v>
      </c>
      <c r="K30" s="22">
        <v>30</v>
      </c>
      <c r="M30" s="10" t="s">
        <v>0</v>
      </c>
    </row>
    <row r="31" spans="1:14" ht="15" hidden="1" customHeight="1" outlineLevel="1" x14ac:dyDescent="0.2">
      <c r="B31" s="10" t="s">
        <v>48</v>
      </c>
      <c r="C31" s="11" t="s">
        <v>17</v>
      </c>
      <c r="E31" s="22">
        <v>200</v>
      </c>
      <c r="F31" s="22">
        <v>200</v>
      </c>
      <c r="G31" s="22">
        <v>200</v>
      </c>
      <c r="H31" s="22">
        <v>200</v>
      </c>
      <c r="I31" s="22">
        <v>200</v>
      </c>
      <c r="J31" s="22">
        <v>200</v>
      </c>
      <c r="K31" s="22">
        <v>400</v>
      </c>
      <c r="M31" s="10" t="s">
        <v>0</v>
      </c>
    </row>
    <row r="32" spans="1:14" ht="15" hidden="1" customHeight="1" outlineLevel="1" x14ac:dyDescent="0.2">
      <c r="B32" s="10" t="s">
        <v>45</v>
      </c>
      <c r="C32" s="11" t="s">
        <v>20</v>
      </c>
      <c r="E32" s="22">
        <v>25</v>
      </c>
      <c r="F32" s="22">
        <v>25</v>
      </c>
      <c r="G32" s="22">
        <v>25</v>
      </c>
      <c r="H32" s="22">
        <v>25</v>
      </c>
      <c r="I32" s="22">
        <v>12.5</v>
      </c>
      <c r="J32" s="22">
        <v>12.5</v>
      </c>
      <c r="K32" s="22">
        <v>30</v>
      </c>
      <c r="M32" s="10" t="s">
        <v>0</v>
      </c>
    </row>
    <row r="33" spans="1:14" ht="15" hidden="1" customHeight="1" outlineLevel="1" x14ac:dyDescent="0.2">
      <c r="B33" s="10" t="s">
        <v>46</v>
      </c>
      <c r="C33" s="11" t="s">
        <v>19</v>
      </c>
      <c r="E33" s="22">
        <v>200</v>
      </c>
      <c r="F33" s="22">
        <v>200</v>
      </c>
      <c r="G33" s="22">
        <v>200</v>
      </c>
      <c r="H33" s="22">
        <v>200</v>
      </c>
      <c r="I33" s="22">
        <v>200</v>
      </c>
      <c r="J33" s="22">
        <v>200</v>
      </c>
      <c r="K33" s="22">
        <v>400</v>
      </c>
      <c r="M33" s="10" t="s">
        <v>0</v>
      </c>
    </row>
    <row r="34" spans="1:14" ht="15" hidden="1" customHeight="1" outlineLevel="1" x14ac:dyDescent="0.2">
      <c r="B34" s="10" t="s">
        <v>7</v>
      </c>
      <c r="C34" s="11" t="s">
        <v>15</v>
      </c>
      <c r="E34" s="22">
        <v>20</v>
      </c>
      <c r="F34" s="22">
        <v>20</v>
      </c>
      <c r="G34" s="22">
        <v>20</v>
      </c>
      <c r="H34" s="22">
        <v>8</v>
      </c>
      <c r="I34" s="22">
        <v>20</v>
      </c>
      <c r="J34" s="22">
        <v>20</v>
      </c>
      <c r="K34" s="22">
        <v>25</v>
      </c>
      <c r="M34" s="10" t="s">
        <v>0</v>
      </c>
    </row>
    <row r="35" spans="1:14" ht="15" hidden="1" customHeight="1" outlineLevel="1" x14ac:dyDescent="0.2">
      <c r="B35" s="10" t="s">
        <v>13</v>
      </c>
      <c r="C35" s="11" t="s">
        <v>14</v>
      </c>
      <c r="E35" s="23">
        <f t="shared" ref="E35:K35" si="9">E29-E32-E30</f>
        <v>650</v>
      </c>
      <c r="F35" s="23">
        <f t="shared" si="9"/>
        <v>650</v>
      </c>
      <c r="G35" s="23">
        <f t="shared" si="9"/>
        <v>650</v>
      </c>
      <c r="H35" s="23">
        <f t="shared" si="9"/>
        <v>650</v>
      </c>
      <c r="I35" s="23">
        <f t="shared" si="9"/>
        <v>675</v>
      </c>
      <c r="J35" s="23">
        <f t="shared" si="9"/>
        <v>675</v>
      </c>
      <c r="K35" s="23">
        <f t="shared" si="9"/>
        <v>940</v>
      </c>
      <c r="M35" s="10" t="s">
        <v>0</v>
      </c>
    </row>
    <row r="36" spans="1:14" ht="15" hidden="1" customHeight="1" outlineLevel="1" x14ac:dyDescent="0.2">
      <c r="B36" s="10" t="s">
        <v>4</v>
      </c>
      <c r="C36" s="11" t="s">
        <v>12</v>
      </c>
      <c r="E36" s="22">
        <v>2700</v>
      </c>
      <c r="F36" s="22">
        <v>2700</v>
      </c>
      <c r="G36" s="22">
        <v>2700</v>
      </c>
      <c r="H36" s="22">
        <v>2700</v>
      </c>
      <c r="I36" s="22">
        <v>2700</v>
      </c>
      <c r="J36" s="22">
        <v>2700</v>
      </c>
      <c r="K36" s="22">
        <v>2700</v>
      </c>
      <c r="M36" s="10" t="s">
        <v>0</v>
      </c>
      <c r="N36" s="10" t="s">
        <v>373</v>
      </c>
    </row>
    <row r="37" spans="1:14" ht="15" hidden="1" customHeight="1" outlineLevel="1" x14ac:dyDescent="0.2">
      <c r="B37" s="10" t="s">
        <v>10</v>
      </c>
      <c r="C37" s="11" t="s">
        <v>192</v>
      </c>
      <c r="E37" s="22">
        <v>6000</v>
      </c>
      <c r="F37" s="22">
        <v>6000</v>
      </c>
      <c r="G37" s="22">
        <v>6000</v>
      </c>
      <c r="H37" s="22">
        <v>6000</v>
      </c>
      <c r="I37" s="22">
        <v>6000</v>
      </c>
      <c r="J37" s="22">
        <v>6000</v>
      </c>
      <c r="K37" s="22">
        <v>6000</v>
      </c>
      <c r="M37" s="10" t="s">
        <v>0</v>
      </c>
      <c r="N37" s="10" t="s">
        <v>373</v>
      </c>
    </row>
    <row r="38" spans="1:14" ht="15" hidden="1" customHeight="1" outlineLevel="1" x14ac:dyDescent="0.2">
      <c r="B38" s="10" t="s">
        <v>41</v>
      </c>
      <c r="C38" s="11" t="s">
        <v>159</v>
      </c>
      <c r="E38" s="24">
        <v>1.4</v>
      </c>
      <c r="F38" s="24">
        <v>1.4</v>
      </c>
      <c r="G38" s="24">
        <v>1.4</v>
      </c>
      <c r="H38" s="24">
        <v>1.4</v>
      </c>
      <c r="I38" s="24">
        <v>1.4</v>
      </c>
      <c r="J38" s="24">
        <v>1.4</v>
      </c>
      <c r="K38" s="24">
        <v>1.4</v>
      </c>
      <c r="N38" s="10" t="s">
        <v>369</v>
      </c>
    </row>
    <row r="39" spans="1:14" ht="15" hidden="1" customHeight="1" outlineLevel="1" x14ac:dyDescent="0.2">
      <c r="B39" s="10" t="s">
        <v>163</v>
      </c>
      <c r="C39" s="11" t="s">
        <v>162</v>
      </c>
      <c r="E39" s="24">
        <v>1</v>
      </c>
      <c r="F39" s="24">
        <v>1</v>
      </c>
      <c r="G39" s="24">
        <v>1</v>
      </c>
      <c r="H39" s="24">
        <v>1</v>
      </c>
      <c r="I39" s="24">
        <v>1</v>
      </c>
      <c r="J39" s="24">
        <v>1</v>
      </c>
      <c r="K39" s="24">
        <v>1</v>
      </c>
      <c r="N39" s="10" t="s">
        <v>369</v>
      </c>
    </row>
    <row r="40" spans="1:14" ht="15" hidden="1" customHeight="1" outlineLevel="1" x14ac:dyDescent="0.2">
      <c r="C40" s="11"/>
    </row>
    <row r="41" spans="1:14" ht="15" hidden="1" customHeight="1" outlineLevel="1" x14ac:dyDescent="0.2">
      <c r="A41" s="17" t="s">
        <v>225</v>
      </c>
      <c r="C41" s="18"/>
    </row>
    <row r="42" spans="1:14" ht="15" hidden="1" customHeight="1" outlineLevel="1" x14ac:dyDescent="0.2">
      <c r="B42" s="10" t="s">
        <v>218</v>
      </c>
      <c r="C42" s="11" t="s">
        <v>221</v>
      </c>
      <c r="E42" s="47">
        <v>0</v>
      </c>
      <c r="F42" s="47">
        <v>0</v>
      </c>
      <c r="G42" s="48">
        <v>90</v>
      </c>
      <c r="H42" s="47">
        <v>0</v>
      </c>
      <c r="I42" s="47">
        <v>0</v>
      </c>
      <c r="J42" s="48">
        <v>90</v>
      </c>
      <c r="K42" s="47">
        <f>(K31-K34)/2</f>
        <v>187.5</v>
      </c>
      <c r="M42" s="10" t="s">
        <v>0</v>
      </c>
      <c r="N42" s="10" t="s">
        <v>374</v>
      </c>
    </row>
    <row r="43" spans="1:14" ht="15" hidden="1" customHeight="1" outlineLevel="1" x14ac:dyDescent="0.2">
      <c r="B43" s="10" t="s">
        <v>219</v>
      </c>
      <c r="C43" s="11" t="s">
        <v>222</v>
      </c>
      <c r="E43" s="47">
        <v>0</v>
      </c>
      <c r="F43" s="47">
        <v>0</v>
      </c>
      <c r="G43" s="48">
        <v>90</v>
      </c>
      <c r="H43" s="47">
        <v>0</v>
      </c>
      <c r="I43" s="47">
        <v>0</v>
      </c>
      <c r="J43" s="48">
        <v>90</v>
      </c>
      <c r="K43" s="47">
        <f>(K33-K34)/2</f>
        <v>187.5</v>
      </c>
      <c r="M43" s="10" t="s">
        <v>0</v>
      </c>
      <c r="N43" s="10" t="s">
        <v>374</v>
      </c>
    </row>
    <row r="44" spans="1:14" ht="15" hidden="1" customHeight="1" outlineLevel="1" x14ac:dyDescent="0.2">
      <c r="B44" s="10" t="s">
        <v>220</v>
      </c>
      <c r="C44" s="11" t="s">
        <v>223</v>
      </c>
      <c r="E44" s="47">
        <v>0</v>
      </c>
      <c r="F44" s="48">
        <v>35</v>
      </c>
      <c r="G44" s="48">
        <v>35</v>
      </c>
      <c r="H44" s="47">
        <v>0</v>
      </c>
      <c r="I44" s="47">
        <v>0</v>
      </c>
      <c r="J44" s="48">
        <v>35</v>
      </c>
      <c r="K44" s="47">
        <f>K35/2</f>
        <v>470</v>
      </c>
      <c r="M44" s="10" t="s">
        <v>0</v>
      </c>
      <c r="N44" s="10" t="s">
        <v>374</v>
      </c>
    </row>
    <row r="45" spans="1:14" ht="15" hidden="1" customHeight="1" outlineLevel="1" x14ac:dyDescent="0.2">
      <c r="B45" s="10" t="s">
        <v>267</v>
      </c>
      <c r="C45" s="11" t="s">
        <v>268</v>
      </c>
      <c r="E45" s="46" t="s">
        <v>1</v>
      </c>
      <c r="F45" s="48">
        <v>100</v>
      </c>
      <c r="G45" s="46" t="s">
        <v>1</v>
      </c>
      <c r="H45" s="46" t="s">
        <v>1</v>
      </c>
      <c r="I45" s="46" t="s">
        <v>1</v>
      </c>
      <c r="J45" s="46" t="s">
        <v>1</v>
      </c>
      <c r="K45" s="46" t="s">
        <v>1</v>
      </c>
      <c r="M45" s="10" t="s">
        <v>0</v>
      </c>
      <c r="N45" s="10" t="s">
        <v>374</v>
      </c>
    </row>
    <row r="46" spans="1:14" ht="15" hidden="1" customHeight="1" outlineLevel="1" x14ac:dyDescent="0.2">
      <c r="A46" s="16"/>
      <c r="B46" s="1" t="s">
        <v>196</v>
      </c>
      <c r="C46" s="1" t="s">
        <v>197</v>
      </c>
      <c r="D46" s="19"/>
      <c r="E46" s="25">
        <v>0.2</v>
      </c>
      <c r="F46" s="25">
        <v>0.2</v>
      </c>
      <c r="G46" s="7">
        <v>0.4</v>
      </c>
      <c r="H46" s="25">
        <v>0.2</v>
      </c>
      <c r="I46" s="25">
        <v>0.2</v>
      </c>
      <c r="J46" s="7">
        <v>0.4</v>
      </c>
      <c r="K46" s="7">
        <v>0.4</v>
      </c>
      <c r="L46" s="19"/>
      <c r="M46" s="21"/>
      <c r="N46" s="10" t="s">
        <v>375</v>
      </c>
    </row>
    <row r="47" spans="1:14" ht="15" hidden="1" customHeight="1" outlineLevel="1" x14ac:dyDescent="0.2">
      <c r="A47" s="16"/>
      <c r="B47" s="1" t="s">
        <v>198</v>
      </c>
      <c r="C47" s="1" t="s">
        <v>200</v>
      </c>
      <c r="D47" s="19"/>
      <c r="E47" s="25">
        <v>0.2</v>
      </c>
      <c r="F47" s="25">
        <v>0.2</v>
      </c>
      <c r="G47" s="7">
        <v>0.4</v>
      </c>
      <c r="H47" s="25">
        <v>0.2</v>
      </c>
      <c r="I47" s="25">
        <v>0.2</v>
      </c>
      <c r="J47" s="7">
        <v>0.4</v>
      </c>
      <c r="K47" s="7">
        <v>0.4</v>
      </c>
      <c r="L47" s="19"/>
      <c r="M47" s="21"/>
      <c r="N47" s="10" t="s">
        <v>375</v>
      </c>
    </row>
    <row r="48" spans="1:14" ht="15" hidden="1" customHeight="1" outlineLevel="1" x14ac:dyDescent="0.2">
      <c r="A48" s="16"/>
      <c r="B48" s="1" t="s">
        <v>199</v>
      </c>
      <c r="C48" s="1" t="s">
        <v>201</v>
      </c>
      <c r="D48" s="19"/>
      <c r="E48" s="25">
        <v>0.2</v>
      </c>
      <c r="F48" s="7">
        <v>0.4</v>
      </c>
      <c r="G48" s="7">
        <v>0.4</v>
      </c>
      <c r="H48" s="25">
        <v>0.2</v>
      </c>
      <c r="I48" s="25">
        <v>0.2</v>
      </c>
      <c r="J48" s="7">
        <v>0.4</v>
      </c>
      <c r="K48" s="7">
        <v>0.4</v>
      </c>
      <c r="L48" s="19"/>
      <c r="M48" s="21"/>
      <c r="N48" s="10" t="s">
        <v>375</v>
      </c>
    </row>
    <row r="49" spans="1:14" ht="15" hidden="1" customHeight="1" outlineLevel="1" x14ac:dyDescent="0.2">
      <c r="A49" s="16"/>
      <c r="B49" s="1" t="s">
        <v>202</v>
      </c>
      <c r="C49" s="1" t="s">
        <v>203</v>
      </c>
      <c r="D49" s="19"/>
      <c r="E49" s="7">
        <f t="shared" ref="E49:K49" si="10">IF(OR(E46=0.4,E47=0.4,E48=0.4),0.4,0.2)</f>
        <v>0.2</v>
      </c>
      <c r="F49" s="7">
        <f t="shared" si="10"/>
        <v>0.4</v>
      </c>
      <c r="G49" s="7">
        <f t="shared" si="10"/>
        <v>0.4</v>
      </c>
      <c r="H49" s="7">
        <f t="shared" si="10"/>
        <v>0.2</v>
      </c>
      <c r="I49" s="7">
        <f t="shared" si="10"/>
        <v>0.2</v>
      </c>
      <c r="J49" s="7">
        <f t="shared" si="10"/>
        <v>0.4</v>
      </c>
      <c r="K49" s="7">
        <f t="shared" si="10"/>
        <v>0.4</v>
      </c>
      <c r="L49" s="19"/>
      <c r="M49" s="21"/>
      <c r="N49" s="10" t="s">
        <v>375</v>
      </c>
    </row>
    <row r="50" spans="1:14" ht="15" hidden="1" customHeight="1" outlineLevel="1" x14ac:dyDescent="0.2">
      <c r="A50" s="16"/>
      <c r="B50" s="10" t="s">
        <v>30</v>
      </c>
      <c r="C50" s="1" t="s">
        <v>204</v>
      </c>
      <c r="D50" s="19"/>
      <c r="E50" s="2" t="s">
        <v>49</v>
      </c>
      <c r="F50" s="2" t="s">
        <v>33</v>
      </c>
      <c r="G50" s="2" t="s">
        <v>33</v>
      </c>
      <c r="H50" s="2" t="s">
        <v>49</v>
      </c>
      <c r="I50" s="2" t="s">
        <v>49</v>
      </c>
      <c r="J50" s="2" t="s">
        <v>33</v>
      </c>
      <c r="K50" s="2" t="s">
        <v>33</v>
      </c>
      <c r="L50" s="19"/>
      <c r="M50" s="21"/>
      <c r="N50" s="10" t="s">
        <v>376</v>
      </c>
    </row>
    <row r="51" spans="1:14" ht="15" hidden="1" customHeight="1" outlineLevel="1" x14ac:dyDescent="0.2">
      <c r="C51" s="11"/>
    </row>
    <row r="52" spans="1:14" ht="15" hidden="1" customHeight="1" outlineLevel="1" x14ac:dyDescent="0.2">
      <c r="A52" s="17" t="s">
        <v>344</v>
      </c>
      <c r="C52" s="18"/>
    </row>
    <row r="53" spans="1:14" ht="15" hidden="1" customHeight="1" outlineLevel="1" x14ac:dyDescent="0.2">
      <c r="B53" s="10" t="s">
        <v>333</v>
      </c>
      <c r="C53" s="11" t="s">
        <v>335</v>
      </c>
      <c r="E53" s="51">
        <v>5</v>
      </c>
      <c r="F53" s="51">
        <v>5</v>
      </c>
      <c r="G53" s="51">
        <v>5</v>
      </c>
      <c r="H53" s="51">
        <v>329.79597394307621</v>
      </c>
      <c r="I53" s="51">
        <v>5</v>
      </c>
      <c r="J53" s="51">
        <v>5</v>
      </c>
      <c r="K53" s="51">
        <v>5</v>
      </c>
      <c r="M53" s="10" t="s">
        <v>0</v>
      </c>
      <c r="N53" s="10" t="s">
        <v>377</v>
      </c>
    </row>
    <row r="54" spans="1:14" ht="15" hidden="1" customHeight="1" outlineLevel="1" x14ac:dyDescent="0.2">
      <c r="B54" s="10" t="s">
        <v>334</v>
      </c>
      <c r="C54" s="11" t="s">
        <v>336</v>
      </c>
      <c r="E54" s="43">
        <f t="shared" ref="E54:K54" si="11">E255-E30</f>
        <v>325</v>
      </c>
      <c r="F54" s="43">
        <f t="shared" si="11"/>
        <v>325</v>
      </c>
      <c r="G54" s="43">
        <f t="shared" si="11"/>
        <v>324.99999999999994</v>
      </c>
      <c r="H54" s="43">
        <f>H255-H30</f>
        <v>329.81845959211671</v>
      </c>
      <c r="I54" s="43">
        <f t="shared" si="11"/>
        <v>337.5</v>
      </c>
      <c r="J54" s="43">
        <f t="shared" si="11"/>
        <v>337.5</v>
      </c>
      <c r="K54" s="43">
        <f t="shared" si="11"/>
        <v>469.99999999999994</v>
      </c>
      <c r="M54" s="10" t="s">
        <v>0</v>
      </c>
      <c r="N54" s="10" t="s">
        <v>377</v>
      </c>
    </row>
    <row r="55" spans="1:14" ht="15" hidden="1" customHeight="1" outlineLevel="1" x14ac:dyDescent="0.2">
      <c r="B55" s="10" t="s">
        <v>342</v>
      </c>
      <c r="C55" s="11" t="s">
        <v>343</v>
      </c>
      <c r="E55" s="52">
        <f t="shared" ref="E55:K55" si="12">E53/E54</f>
        <v>1.5384615384615385E-2</v>
      </c>
      <c r="F55" s="52">
        <f t="shared" si="12"/>
        <v>1.5384615384615385E-2</v>
      </c>
      <c r="G55" s="52">
        <f t="shared" si="12"/>
        <v>1.5384615384615387E-2</v>
      </c>
      <c r="H55" s="52">
        <f>H53/H54</f>
        <v>0.99993182416451676</v>
      </c>
      <c r="I55" s="52">
        <f t="shared" si="12"/>
        <v>1.4814814814814815E-2</v>
      </c>
      <c r="J55" s="52">
        <f t="shared" si="12"/>
        <v>1.4814814814814815E-2</v>
      </c>
      <c r="K55" s="52">
        <f t="shared" si="12"/>
        <v>1.0638297872340427E-2</v>
      </c>
      <c r="M55" s="10" t="s">
        <v>0</v>
      </c>
      <c r="N55" s="10" t="s">
        <v>377</v>
      </c>
    </row>
    <row r="56" spans="1:14" ht="15" customHeight="1" collapsed="1" x14ac:dyDescent="0.2">
      <c r="C56" s="11"/>
    </row>
    <row r="57" spans="1:14" ht="15" customHeight="1" x14ac:dyDescent="0.2">
      <c r="C57" s="11"/>
    </row>
    <row r="58" spans="1:14" ht="15" customHeight="1" x14ac:dyDescent="0.2">
      <c r="A58" s="15" t="s">
        <v>358</v>
      </c>
      <c r="C58" s="11"/>
    </row>
    <row r="59" spans="1:14" ht="15" hidden="1" customHeight="1" outlineLevel="1" x14ac:dyDescent="0.2">
      <c r="C59" s="11"/>
    </row>
    <row r="60" spans="1:14" ht="15" hidden="1" customHeight="1" outlineLevel="1" x14ac:dyDescent="0.2">
      <c r="A60" s="17" t="s">
        <v>81</v>
      </c>
      <c r="C60" s="18"/>
    </row>
    <row r="61" spans="1:14" ht="15" hidden="1" customHeight="1" outlineLevel="1" x14ac:dyDescent="0.2">
      <c r="B61" s="10" t="s">
        <v>65</v>
      </c>
      <c r="C61" s="11" t="s">
        <v>85</v>
      </c>
      <c r="E61" s="3">
        <f t="shared" ref="E61:K61" si="13">E30*E31</f>
        <v>5000</v>
      </c>
      <c r="F61" s="3">
        <f t="shared" si="13"/>
        <v>5000</v>
      </c>
      <c r="G61" s="3">
        <f t="shared" si="13"/>
        <v>5000</v>
      </c>
      <c r="H61" s="3">
        <f t="shared" si="13"/>
        <v>5000</v>
      </c>
      <c r="I61" s="3">
        <f t="shared" si="13"/>
        <v>2500</v>
      </c>
      <c r="J61" s="3">
        <f t="shared" si="13"/>
        <v>2500</v>
      </c>
      <c r="K61" s="3">
        <f t="shared" si="13"/>
        <v>12000</v>
      </c>
      <c r="M61" s="10" t="s">
        <v>213</v>
      </c>
    </row>
    <row r="62" spans="1:14" ht="15" hidden="1" customHeight="1" outlineLevel="1" x14ac:dyDescent="0.2">
      <c r="B62" s="10" t="s">
        <v>27</v>
      </c>
      <c r="C62" s="11" t="s">
        <v>86</v>
      </c>
      <c r="E62" s="3">
        <f t="shared" ref="E62:K62" si="14">E32+E35+E30/2</f>
        <v>687.5</v>
      </c>
      <c r="F62" s="3">
        <f t="shared" si="14"/>
        <v>687.5</v>
      </c>
      <c r="G62" s="3">
        <f t="shared" si="14"/>
        <v>687.5</v>
      </c>
      <c r="H62" s="3">
        <f t="shared" si="14"/>
        <v>687.5</v>
      </c>
      <c r="I62" s="3">
        <f t="shared" si="14"/>
        <v>693.75</v>
      </c>
      <c r="J62" s="3">
        <f t="shared" si="14"/>
        <v>693.75</v>
      </c>
      <c r="K62" s="3">
        <f t="shared" si="14"/>
        <v>985</v>
      </c>
      <c r="M62" s="10" t="s">
        <v>0</v>
      </c>
    </row>
    <row r="63" spans="1:14" ht="15" hidden="1" customHeight="1" outlineLevel="1" x14ac:dyDescent="0.2">
      <c r="B63" s="10" t="s">
        <v>66</v>
      </c>
      <c r="C63" s="11" t="s">
        <v>87</v>
      </c>
      <c r="E63" s="26">
        <f t="shared" ref="E63:K63" si="15">E31/12*E30^3+E61*(E74-E62)^2</f>
        <v>569791666.66666663</v>
      </c>
      <c r="F63" s="26">
        <f t="shared" si="15"/>
        <v>569791666.66666663</v>
      </c>
      <c r="G63" s="26">
        <f t="shared" si="15"/>
        <v>569791666.66666663</v>
      </c>
      <c r="H63" s="26">
        <f t="shared" si="15"/>
        <v>569791666.66666663</v>
      </c>
      <c r="I63" s="26">
        <f t="shared" si="15"/>
        <v>295442708.33333331</v>
      </c>
      <c r="J63" s="26">
        <f t="shared" si="15"/>
        <v>295442708.33333331</v>
      </c>
      <c r="K63" s="26">
        <f t="shared" si="15"/>
        <v>2823600000</v>
      </c>
      <c r="M63" s="10" t="s">
        <v>306</v>
      </c>
    </row>
    <row r="64" spans="1:14" ht="15" hidden="1" customHeight="1" outlineLevel="1" x14ac:dyDescent="0.2">
      <c r="B64" s="10" t="s">
        <v>63</v>
      </c>
      <c r="C64" s="11" t="s">
        <v>82</v>
      </c>
      <c r="E64" s="3">
        <f t="shared" ref="E64:K64" si="16">E32*E33</f>
        <v>5000</v>
      </c>
      <c r="F64" s="3">
        <f t="shared" si="16"/>
        <v>5000</v>
      </c>
      <c r="G64" s="3">
        <f t="shared" si="16"/>
        <v>5000</v>
      </c>
      <c r="H64" s="3">
        <f t="shared" si="16"/>
        <v>5000</v>
      </c>
      <c r="I64" s="3">
        <f t="shared" si="16"/>
        <v>2500</v>
      </c>
      <c r="J64" s="3">
        <f t="shared" si="16"/>
        <v>2500</v>
      </c>
      <c r="K64" s="3">
        <f t="shared" si="16"/>
        <v>12000</v>
      </c>
      <c r="M64" s="10" t="s">
        <v>213</v>
      </c>
    </row>
    <row r="65" spans="1:13" ht="15" hidden="1" customHeight="1" outlineLevel="1" x14ac:dyDescent="0.2">
      <c r="B65" s="10" t="s">
        <v>27</v>
      </c>
      <c r="C65" s="11" t="s">
        <v>83</v>
      </c>
      <c r="E65" s="3">
        <f t="shared" ref="E65:K65" si="17">E32/2</f>
        <v>12.5</v>
      </c>
      <c r="F65" s="3">
        <f t="shared" si="17"/>
        <v>12.5</v>
      </c>
      <c r="G65" s="3">
        <f t="shared" si="17"/>
        <v>12.5</v>
      </c>
      <c r="H65" s="3">
        <f t="shared" si="17"/>
        <v>12.5</v>
      </c>
      <c r="I65" s="3">
        <f t="shared" si="17"/>
        <v>6.25</v>
      </c>
      <c r="J65" s="3">
        <f t="shared" si="17"/>
        <v>6.25</v>
      </c>
      <c r="K65" s="3">
        <f t="shared" si="17"/>
        <v>15</v>
      </c>
      <c r="M65" s="10" t="s">
        <v>0</v>
      </c>
    </row>
    <row r="66" spans="1:13" ht="15" hidden="1" customHeight="1" outlineLevel="1" x14ac:dyDescent="0.2">
      <c r="B66" s="10" t="s">
        <v>64</v>
      </c>
      <c r="C66" s="11" t="s">
        <v>84</v>
      </c>
      <c r="E66" s="26">
        <f t="shared" ref="E66:K66" si="18">E33/12*E32^3+E64*(E74-E65)^2</f>
        <v>569791666.66666663</v>
      </c>
      <c r="F66" s="26">
        <f t="shared" si="18"/>
        <v>569791666.66666663</v>
      </c>
      <c r="G66" s="26">
        <f t="shared" si="18"/>
        <v>569791666.66666663</v>
      </c>
      <c r="H66" s="26">
        <f t="shared" si="18"/>
        <v>569791666.66666663</v>
      </c>
      <c r="I66" s="26">
        <f t="shared" si="18"/>
        <v>295442708.33333331</v>
      </c>
      <c r="J66" s="26">
        <f t="shared" si="18"/>
        <v>295442708.33333331</v>
      </c>
      <c r="K66" s="26">
        <f t="shared" si="18"/>
        <v>2823600000</v>
      </c>
      <c r="M66" s="10" t="s">
        <v>306</v>
      </c>
    </row>
    <row r="67" spans="1:13" ht="15" hidden="1" customHeight="1" outlineLevel="1" x14ac:dyDescent="0.2">
      <c r="B67" s="10" t="s">
        <v>40</v>
      </c>
      <c r="C67" s="11" t="s">
        <v>88</v>
      </c>
      <c r="E67" s="3">
        <f t="shared" ref="E67:K67" si="19">E35*E34</f>
        <v>13000</v>
      </c>
      <c r="F67" s="3">
        <f t="shared" si="19"/>
        <v>13000</v>
      </c>
      <c r="G67" s="3">
        <f t="shared" si="19"/>
        <v>13000</v>
      </c>
      <c r="H67" s="3">
        <f t="shared" si="19"/>
        <v>5200</v>
      </c>
      <c r="I67" s="3">
        <f t="shared" si="19"/>
        <v>13500</v>
      </c>
      <c r="J67" s="3">
        <f t="shared" si="19"/>
        <v>13500</v>
      </c>
      <c r="K67" s="3">
        <f t="shared" si="19"/>
        <v>23500</v>
      </c>
      <c r="M67" s="10" t="s">
        <v>213</v>
      </c>
    </row>
    <row r="68" spans="1:13" ht="15" hidden="1" customHeight="1" outlineLevel="1" x14ac:dyDescent="0.2">
      <c r="B68" s="10" t="s">
        <v>27</v>
      </c>
      <c r="C68" s="11" t="s">
        <v>89</v>
      </c>
      <c r="E68" s="3">
        <f t="shared" ref="E68:K68" si="20">E32+E35/2</f>
        <v>350</v>
      </c>
      <c r="F68" s="3">
        <f t="shared" si="20"/>
        <v>350</v>
      </c>
      <c r="G68" s="3">
        <f t="shared" si="20"/>
        <v>350</v>
      </c>
      <c r="H68" s="3">
        <f t="shared" si="20"/>
        <v>350</v>
      </c>
      <c r="I68" s="3">
        <f t="shared" si="20"/>
        <v>350</v>
      </c>
      <c r="J68" s="3">
        <f t="shared" si="20"/>
        <v>350</v>
      </c>
      <c r="K68" s="3">
        <f t="shared" si="20"/>
        <v>500</v>
      </c>
      <c r="M68" s="10" t="s">
        <v>0</v>
      </c>
    </row>
    <row r="69" spans="1:13" ht="15" hidden="1" customHeight="1" outlineLevel="1" x14ac:dyDescent="0.2">
      <c r="B69" s="10" t="s">
        <v>67</v>
      </c>
      <c r="C69" s="11" t="s">
        <v>90</v>
      </c>
      <c r="E69" s="26">
        <f t="shared" ref="E69:K69" si="21">E34/12*E35^3+E67*(E74-E68)^2</f>
        <v>457708333.33333337</v>
      </c>
      <c r="F69" s="26">
        <f t="shared" si="21"/>
        <v>457708333.33333337</v>
      </c>
      <c r="G69" s="26">
        <f t="shared" si="21"/>
        <v>457708333.33333337</v>
      </c>
      <c r="H69" s="26">
        <f t="shared" si="21"/>
        <v>183083333.33333331</v>
      </c>
      <c r="I69" s="26">
        <f t="shared" si="21"/>
        <v>512578125</v>
      </c>
      <c r="J69" s="26">
        <f t="shared" si="21"/>
        <v>512578125</v>
      </c>
      <c r="K69" s="26">
        <f t="shared" si="21"/>
        <v>1730383333.3333335</v>
      </c>
      <c r="M69" s="10" t="s">
        <v>306</v>
      </c>
    </row>
    <row r="70" spans="1:13" ht="15" hidden="1" customHeight="1" outlineLevel="1" x14ac:dyDescent="0.2">
      <c r="C70" s="11"/>
    </row>
    <row r="71" spans="1:13" ht="15" hidden="1" customHeight="1" outlineLevel="1" x14ac:dyDescent="0.2">
      <c r="A71" s="17" t="s">
        <v>26</v>
      </c>
      <c r="C71" s="18"/>
    </row>
    <row r="72" spans="1:13" ht="15" hidden="1" customHeight="1" outlineLevel="1" x14ac:dyDescent="0.2">
      <c r="B72" s="10" t="s">
        <v>69</v>
      </c>
      <c r="C72" s="11" t="s">
        <v>68</v>
      </c>
      <c r="E72" s="3">
        <f t="shared" ref="E72:K72" si="22">E64+E61+E67</f>
        <v>23000</v>
      </c>
      <c r="F72" s="3">
        <f t="shared" si="22"/>
        <v>23000</v>
      </c>
      <c r="G72" s="3">
        <f t="shared" si="22"/>
        <v>23000</v>
      </c>
      <c r="H72" s="3">
        <f t="shared" si="22"/>
        <v>15200</v>
      </c>
      <c r="I72" s="3">
        <f t="shared" si="22"/>
        <v>18500</v>
      </c>
      <c r="J72" s="3">
        <f t="shared" si="22"/>
        <v>18500</v>
      </c>
      <c r="K72" s="3">
        <f t="shared" si="22"/>
        <v>47500</v>
      </c>
      <c r="M72" s="10" t="s">
        <v>213</v>
      </c>
    </row>
    <row r="73" spans="1:13" ht="15" hidden="1" customHeight="1" outlineLevel="1" x14ac:dyDescent="0.2">
      <c r="B73" s="10" t="s">
        <v>71</v>
      </c>
      <c r="C73" s="11" t="s">
        <v>70</v>
      </c>
      <c r="E73" s="26">
        <f t="shared" ref="E73:K73" si="23">E64*E65+E61*E62+E67*E68</f>
        <v>8050000</v>
      </c>
      <c r="F73" s="26">
        <f t="shared" si="23"/>
        <v>8050000</v>
      </c>
      <c r="G73" s="26">
        <f t="shared" si="23"/>
        <v>8050000</v>
      </c>
      <c r="H73" s="26">
        <f t="shared" si="23"/>
        <v>5320000</v>
      </c>
      <c r="I73" s="26">
        <f t="shared" si="23"/>
        <v>6475000</v>
      </c>
      <c r="J73" s="26">
        <f t="shared" si="23"/>
        <v>6475000</v>
      </c>
      <c r="K73" s="26">
        <f t="shared" si="23"/>
        <v>23750000</v>
      </c>
      <c r="M73" s="10" t="s">
        <v>214</v>
      </c>
    </row>
    <row r="74" spans="1:13" ht="15" hidden="1" customHeight="1" outlineLevel="1" x14ac:dyDescent="0.2">
      <c r="B74" s="10" t="s">
        <v>60</v>
      </c>
      <c r="C74" s="11" t="s">
        <v>108</v>
      </c>
      <c r="E74" s="3">
        <f t="shared" ref="E74:K74" si="24">E73/E72</f>
        <v>350</v>
      </c>
      <c r="F74" s="3">
        <f t="shared" si="24"/>
        <v>350</v>
      </c>
      <c r="G74" s="3">
        <f t="shared" si="24"/>
        <v>350</v>
      </c>
      <c r="H74" s="3">
        <f t="shared" si="24"/>
        <v>350</v>
      </c>
      <c r="I74" s="3">
        <f t="shared" si="24"/>
        <v>350</v>
      </c>
      <c r="J74" s="3">
        <f t="shared" si="24"/>
        <v>350</v>
      </c>
      <c r="K74" s="3">
        <f t="shared" si="24"/>
        <v>500</v>
      </c>
      <c r="M74" s="10" t="s">
        <v>0</v>
      </c>
    </row>
    <row r="75" spans="1:13" ht="15" hidden="1" customHeight="1" outlineLevel="1" x14ac:dyDescent="0.2">
      <c r="B75" s="10" t="s">
        <v>73</v>
      </c>
      <c r="C75" s="11" t="s">
        <v>24</v>
      </c>
      <c r="E75" s="3">
        <f t="shared" ref="E75:K75" si="25">E29-E74</f>
        <v>350</v>
      </c>
      <c r="F75" s="3">
        <f t="shared" si="25"/>
        <v>350</v>
      </c>
      <c r="G75" s="3">
        <f t="shared" si="25"/>
        <v>350</v>
      </c>
      <c r="H75" s="3">
        <f t="shared" si="25"/>
        <v>350</v>
      </c>
      <c r="I75" s="3">
        <f t="shared" si="25"/>
        <v>350</v>
      </c>
      <c r="J75" s="3">
        <f t="shared" si="25"/>
        <v>350</v>
      </c>
      <c r="K75" s="3">
        <f t="shared" si="25"/>
        <v>500</v>
      </c>
      <c r="M75" s="10" t="s">
        <v>0</v>
      </c>
    </row>
    <row r="76" spans="1:13" ht="15" hidden="1" customHeight="1" outlineLevel="1" x14ac:dyDescent="0.2">
      <c r="B76" s="10" t="s">
        <v>72</v>
      </c>
      <c r="C76" s="11" t="s">
        <v>25</v>
      </c>
      <c r="E76" s="3">
        <f t="shared" ref="E76:J76" si="26">E74</f>
        <v>350</v>
      </c>
      <c r="F76" s="3">
        <f t="shared" si="26"/>
        <v>350</v>
      </c>
      <c r="G76" s="3">
        <f t="shared" si="26"/>
        <v>350</v>
      </c>
      <c r="H76" s="3">
        <f t="shared" si="26"/>
        <v>350</v>
      </c>
      <c r="I76" s="3">
        <f t="shared" si="26"/>
        <v>350</v>
      </c>
      <c r="J76" s="3">
        <f t="shared" si="26"/>
        <v>350</v>
      </c>
      <c r="K76" s="3">
        <f>K74</f>
        <v>500</v>
      </c>
      <c r="M76" s="10" t="s">
        <v>0</v>
      </c>
    </row>
    <row r="77" spans="1:13" ht="15" hidden="1" customHeight="1" outlineLevel="1" x14ac:dyDescent="0.2">
      <c r="B77" s="10" t="s">
        <v>31</v>
      </c>
      <c r="C77" s="11" t="s">
        <v>74</v>
      </c>
      <c r="E77" s="26">
        <f t="shared" ref="E77:K77" si="27">E66+E63+E69</f>
        <v>1597291666.6666665</v>
      </c>
      <c r="F77" s="26">
        <f t="shared" si="27"/>
        <v>1597291666.6666665</v>
      </c>
      <c r="G77" s="26">
        <f t="shared" si="27"/>
        <v>1597291666.6666665</v>
      </c>
      <c r="H77" s="26">
        <f t="shared" si="27"/>
        <v>1322666666.6666665</v>
      </c>
      <c r="I77" s="26">
        <f t="shared" si="27"/>
        <v>1103463541.6666665</v>
      </c>
      <c r="J77" s="26">
        <f t="shared" si="27"/>
        <v>1103463541.6666665</v>
      </c>
      <c r="K77" s="26">
        <f t="shared" si="27"/>
        <v>7377583333.333334</v>
      </c>
      <c r="M77" s="10" t="s">
        <v>306</v>
      </c>
    </row>
    <row r="78" spans="1:13" ht="15" hidden="1" customHeight="1" outlineLevel="1" x14ac:dyDescent="0.2">
      <c r="B78" s="10" t="s">
        <v>75</v>
      </c>
      <c r="C78" s="11" t="s">
        <v>11</v>
      </c>
      <c r="E78" s="26">
        <f t="shared" ref="E78:K78" si="28">E77/E76</f>
        <v>4563690.4761904757</v>
      </c>
      <c r="F78" s="26">
        <f t="shared" si="28"/>
        <v>4563690.4761904757</v>
      </c>
      <c r="G78" s="26">
        <f t="shared" si="28"/>
        <v>4563690.4761904757</v>
      </c>
      <c r="H78" s="26">
        <f t="shared" si="28"/>
        <v>3779047.6190476185</v>
      </c>
      <c r="I78" s="26">
        <f t="shared" si="28"/>
        <v>3152752.9761904757</v>
      </c>
      <c r="J78" s="26">
        <f t="shared" si="28"/>
        <v>3152752.9761904757</v>
      </c>
      <c r="K78" s="26">
        <f t="shared" si="28"/>
        <v>14755166.666666668</v>
      </c>
      <c r="M78" s="10" t="s">
        <v>214</v>
      </c>
    </row>
    <row r="79" spans="1:13" ht="15" hidden="1" customHeight="1" outlineLevel="1" x14ac:dyDescent="0.2">
      <c r="B79" s="10" t="s">
        <v>76</v>
      </c>
      <c r="C79" s="11" t="s">
        <v>9</v>
      </c>
      <c r="E79" s="26">
        <f t="shared" ref="E79:K79" si="29">E77/E75</f>
        <v>4563690.4761904757</v>
      </c>
      <c r="F79" s="26">
        <f t="shared" si="29"/>
        <v>4563690.4761904757</v>
      </c>
      <c r="G79" s="26">
        <f t="shared" si="29"/>
        <v>4563690.4761904757</v>
      </c>
      <c r="H79" s="26">
        <f t="shared" si="29"/>
        <v>3779047.6190476185</v>
      </c>
      <c r="I79" s="26">
        <f t="shared" si="29"/>
        <v>3152752.9761904757</v>
      </c>
      <c r="J79" s="26">
        <f t="shared" si="29"/>
        <v>3152752.9761904757</v>
      </c>
      <c r="K79" s="26">
        <f t="shared" si="29"/>
        <v>14755166.666666668</v>
      </c>
      <c r="M79" s="10" t="s">
        <v>214</v>
      </c>
    </row>
    <row r="80" spans="1:13" ht="15" hidden="1" customHeight="1" outlineLevel="1" x14ac:dyDescent="0.2">
      <c r="B80" s="10" t="s">
        <v>32</v>
      </c>
      <c r="C80" s="11" t="s">
        <v>23</v>
      </c>
      <c r="E80" s="26">
        <f t="shared" ref="E80:K80" si="30">1/12*(E32*E33^3+E30*E31^3+E35*E34^3)</f>
        <v>33766666.666666664</v>
      </c>
      <c r="F80" s="26">
        <f t="shared" si="30"/>
        <v>33766666.666666664</v>
      </c>
      <c r="G80" s="26">
        <f t="shared" si="30"/>
        <v>33766666.666666664</v>
      </c>
      <c r="H80" s="26">
        <f t="shared" si="30"/>
        <v>33361066.666666664</v>
      </c>
      <c r="I80" s="26">
        <f t="shared" si="30"/>
        <v>17116666.666666664</v>
      </c>
      <c r="J80" s="26">
        <f t="shared" si="30"/>
        <v>17116666.666666664</v>
      </c>
      <c r="K80" s="26">
        <f t="shared" si="30"/>
        <v>321223958.33333331</v>
      </c>
      <c r="M80" s="10" t="s">
        <v>306</v>
      </c>
    </row>
    <row r="81" spans="1:14" ht="15" hidden="1" customHeight="1" outlineLevel="1" x14ac:dyDescent="0.2">
      <c r="B81" s="10" t="s">
        <v>164</v>
      </c>
      <c r="C81" s="11" t="s">
        <v>165</v>
      </c>
      <c r="E81" s="3">
        <f t="shared" ref="E81:K81" si="31">SQRT(E80/E72)</f>
        <v>38.316001122624805</v>
      </c>
      <c r="F81" s="3">
        <f t="shared" si="31"/>
        <v>38.316001122624805</v>
      </c>
      <c r="G81" s="3">
        <f t="shared" si="31"/>
        <v>38.316001122624805</v>
      </c>
      <c r="H81" s="3">
        <f t="shared" si="31"/>
        <v>46.848767513605516</v>
      </c>
      <c r="I81" s="3">
        <f t="shared" si="31"/>
        <v>30.417515106024442</v>
      </c>
      <c r="J81" s="3">
        <f t="shared" si="31"/>
        <v>30.417515106024442</v>
      </c>
      <c r="K81" s="3">
        <f t="shared" si="31"/>
        <v>82.235087700584387</v>
      </c>
      <c r="M81" s="10" t="s">
        <v>0</v>
      </c>
    </row>
    <row r="82" spans="1:14" ht="15" hidden="1" customHeight="1" outlineLevel="1" x14ac:dyDescent="0.2">
      <c r="B82" s="10" t="s">
        <v>62</v>
      </c>
      <c r="C82" s="11" t="s">
        <v>77</v>
      </c>
      <c r="E82" s="3">
        <f t="shared" ref="E82:K82" si="32">(E61-E64)/2/E34+E35/2+E32</f>
        <v>350</v>
      </c>
      <c r="F82" s="3">
        <f t="shared" si="32"/>
        <v>350</v>
      </c>
      <c r="G82" s="3">
        <f t="shared" si="32"/>
        <v>350</v>
      </c>
      <c r="H82" s="3">
        <f t="shared" si="32"/>
        <v>350</v>
      </c>
      <c r="I82" s="3">
        <f t="shared" si="32"/>
        <v>350</v>
      </c>
      <c r="J82" s="3">
        <f t="shared" si="32"/>
        <v>350</v>
      </c>
      <c r="K82" s="3">
        <f t="shared" si="32"/>
        <v>500</v>
      </c>
      <c r="M82" s="10" t="s">
        <v>0</v>
      </c>
      <c r="N82" s="10" t="s">
        <v>153</v>
      </c>
    </row>
    <row r="83" spans="1:14" ht="15" hidden="1" customHeight="1" outlineLevel="1" x14ac:dyDescent="0.2">
      <c r="B83" s="10" t="s">
        <v>61</v>
      </c>
      <c r="C83" s="11" t="s">
        <v>78</v>
      </c>
      <c r="E83" s="26">
        <f t="shared" ref="E83:K83" si="33">E64*(E82-E65)+E61*(E62-E82)+E34*(E35+E32-E82)^2/2+E34*(E82-E32)^2/2</f>
        <v>5487500</v>
      </c>
      <c r="F83" s="26">
        <f t="shared" si="33"/>
        <v>5487500</v>
      </c>
      <c r="G83" s="26">
        <f t="shared" si="33"/>
        <v>5487500</v>
      </c>
      <c r="H83" s="26">
        <f t="shared" si="33"/>
        <v>4220000</v>
      </c>
      <c r="I83" s="26">
        <f t="shared" si="33"/>
        <v>3996875</v>
      </c>
      <c r="J83" s="26">
        <f t="shared" si="33"/>
        <v>3996875</v>
      </c>
      <c r="K83" s="26">
        <f t="shared" si="33"/>
        <v>17162500</v>
      </c>
      <c r="M83" s="10" t="s">
        <v>214</v>
      </c>
      <c r="N83" s="10" t="s">
        <v>153</v>
      </c>
    </row>
    <row r="84" spans="1:14" ht="15" hidden="1" customHeight="1" outlineLevel="1" x14ac:dyDescent="0.2">
      <c r="B84" s="10" t="s">
        <v>145</v>
      </c>
      <c r="C84" s="11" t="s">
        <v>215</v>
      </c>
      <c r="E84" s="26">
        <f t="shared" ref="E84:K84" si="34">(E31*E30^3+E33*E32^3+E35*E34^3)/3</f>
        <v>3816666.6666666665</v>
      </c>
      <c r="F84" s="26">
        <f t="shared" si="34"/>
        <v>3816666.6666666665</v>
      </c>
      <c r="G84" s="26">
        <f t="shared" si="34"/>
        <v>3816666.6666666665</v>
      </c>
      <c r="H84" s="26">
        <f t="shared" si="34"/>
        <v>2194266.6666666665</v>
      </c>
      <c r="I84" s="26">
        <f t="shared" si="34"/>
        <v>2060416.6666666667</v>
      </c>
      <c r="J84" s="26">
        <f t="shared" si="34"/>
        <v>2060416.6666666667</v>
      </c>
      <c r="K84" s="26">
        <f t="shared" si="34"/>
        <v>12095833.333333334</v>
      </c>
      <c r="M84" s="10" t="s">
        <v>306</v>
      </c>
      <c r="N84" s="10" t="s">
        <v>152</v>
      </c>
    </row>
    <row r="85" spans="1:14" ht="15" hidden="1" customHeight="1" outlineLevel="1" x14ac:dyDescent="0.2">
      <c r="B85" s="10" t="s">
        <v>146</v>
      </c>
      <c r="C85" s="11" t="s">
        <v>216</v>
      </c>
      <c r="E85" s="26">
        <f t="shared" ref="E85:J85" si="35">E31^3*E30/12</f>
        <v>16666666.666666666</v>
      </c>
      <c r="F85" s="26">
        <f t="shared" si="35"/>
        <v>16666666.666666666</v>
      </c>
      <c r="G85" s="26">
        <f t="shared" si="35"/>
        <v>16666666.666666666</v>
      </c>
      <c r="H85" s="26">
        <f t="shared" si="35"/>
        <v>16666666.666666666</v>
      </c>
      <c r="I85" s="26">
        <f t="shared" si="35"/>
        <v>8333333.333333333</v>
      </c>
      <c r="J85" s="26">
        <f t="shared" si="35"/>
        <v>8333333.333333333</v>
      </c>
      <c r="K85" s="26">
        <f>K31^3*K30/12</f>
        <v>160000000</v>
      </c>
      <c r="M85" s="10" t="s">
        <v>306</v>
      </c>
      <c r="N85" s="10" t="s">
        <v>154</v>
      </c>
    </row>
    <row r="86" spans="1:14" ht="15" hidden="1" customHeight="1" outlineLevel="1" x14ac:dyDescent="0.2">
      <c r="B86" s="10" t="s">
        <v>147</v>
      </c>
      <c r="C86" s="11" t="s">
        <v>217</v>
      </c>
      <c r="E86" s="26">
        <f t="shared" ref="E86:J86" si="36">E33^3*E32/12</f>
        <v>16666666.666666666</v>
      </c>
      <c r="F86" s="26">
        <f t="shared" si="36"/>
        <v>16666666.666666666</v>
      </c>
      <c r="G86" s="26">
        <f t="shared" si="36"/>
        <v>16666666.666666666</v>
      </c>
      <c r="H86" s="26">
        <f t="shared" si="36"/>
        <v>16666666.666666666</v>
      </c>
      <c r="I86" s="26">
        <f t="shared" si="36"/>
        <v>8333333.333333333</v>
      </c>
      <c r="J86" s="26">
        <f t="shared" si="36"/>
        <v>8333333.333333333</v>
      </c>
      <c r="K86" s="26">
        <f>K33^3*K32/12</f>
        <v>160000000</v>
      </c>
      <c r="M86" s="10" t="s">
        <v>306</v>
      </c>
      <c r="N86" s="10" t="s">
        <v>154</v>
      </c>
    </row>
    <row r="87" spans="1:14" ht="15" hidden="1" customHeight="1" outlineLevel="1" x14ac:dyDescent="0.2">
      <c r="B87" s="10" t="s">
        <v>148</v>
      </c>
      <c r="C87" s="11" t="s">
        <v>155</v>
      </c>
      <c r="E87" s="3">
        <f t="shared" ref="E87:J87" si="37">E75-E30/2</f>
        <v>337.5</v>
      </c>
      <c r="F87" s="3">
        <f t="shared" si="37"/>
        <v>337.5</v>
      </c>
      <c r="G87" s="3">
        <f t="shared" si="37"/>
        <v>337.5</v>
      </c>
      <c r="H87" s="3">
        <f t="shared" si="37"/>
        <v>337.5</v>
      </c>
      <c r="I87" s="3">
        <f t="shared" si="37"/>
        <v>343.75</v>
      </c>
      <c r="J87" s="3">
        <f t="shared" si="37"/>
        <v>343.75</v>
      </c>
      <c r="K87" s="3">
        <f>K75-K30/2</f>
        <v>485</v>
      </c>
      <c r="M87" s="10" t="s">
        <v>0</v>
      </c>
      <c r="N87" s="10" t="s">
        <v>154</v>
      </c>
    </row>
    <row r="88" spans="1:14" ht="15" hidden="1" customHeight="1" outlineLevel="1" x14ac:dyDescent="0.2">
      <c r="B88" s="10" t="s">
        <v>149</v>
      </c>
      <c r="C88" s="11" t="s">
        <v>156</v>
      </c>
      <c r="E88" s="3">
        <f t="shared" ref="E88:J88" si="38">E76-E32/2</f>
        <v>337.5</v>
      </c>
      <c r="F88" s="3">
        <f t="shared" si="38"/>
        <v>337.5</v>
      </c>
      <c r="G88" s="3">
        <f t="shared" si="38"/>
        <v>337.5</v>
      </c>
      <c r="H88" s="3">
        <f t="shared" si="38"/>
        <v>337.5</v>
      </c>
      <c r="I88" s="3">
        <f t="shared" si="38"/>
        <v>343.75</v>
      </c>
      <c r="J88" s="3">
        <f t="shared" si="38"/>
        <v>343.75</v>
      </c>
      <c r="K88" s="3">
        <f>K76-K32/2</f>
        <v>485</v>
      </c>
      <c r="M88" s="10" t="s">
        <v>0</v>
      </c>
      <c r="N88" s="10" t="s">
        <v>154</v>
      </c>
    </row>
    <row r="89" spans="1:14" ht="15" hidden="1" customHeight="1" outlineLevel="1" x14ac:dyDescent="0.2">
      <c r="B89" s="10" t="s">
        <v>150</v>
      </c>
      <c r="C89" s="11" t="s">
        <v>157</v>
      </c>
      <c r="E89" s="26">
        <f t="shared" ref="E89:K89" si="39">(E87+E88)^2*E85*E86/(E85+E86)</f>
        <v>3796875000000</v>
      </c>
      <c r="F89" s="26">
        <f t="shared" si="39"/>
        <v>3796875000000</v>
      </c>
      <c r="G89" s="26">
        <f t="shared" si="39"/>
        <v>3796875000000</v>
      </c>
      <c r="H89" s="26">
        <f t="shared" si="39"/>
        <v>3796875000000</v>
      </c>
      <c r="I89" s="26">
        <f t="shared" si="39"/>
        <v>1969401041666.6665</v>
      </c>
      <c r="J89" s="26">
        <f t="shared" si="39"/>
        <v>1969401041666.6665</v>
      </c>
      <c r="K89" s="26">
        <f t="shared" si="39"/>
        <v>75272000000000</v>
      </c>
      <c r="M89" s="10" t="s">
        <v>307</v>
      </c>
      <c r="N89" s="10" t="s">
        <v>154</v>
      </c>
    </row>
    <row r="90" spans="1:14" ht="15" hidden="1" customHeight="1" outlineLevel="1" x14ac:dyDescent="0.2">
      <c r="B90" s="11" t="s">
        <v>151</v>
      </c>
      <c r="C90" s="11" t="s">
        <v>185</v>
      </c>
      <c r="E90" s="3">
        <f t="shared" ref="E90:K90" si="40">0.45*(E87+E88)*(2*E85/(E85+E86)-1)*(1-E80^2/E77^2)</f>
        <v>0</v>
      </c>
      <c r="F90" s="3">
        <f t="shared" si="40"/>
        <v>0</v>
      </c>
      <c r="G90" s="3">
        <f t="shared" si="40"/>
        <v>0</v>
      </c>
      <c r="H90" s="3">
        <f t="shared" si="40"/>
        <v>0</v>
      </c>
      <c r="I90" s="3">
        <f t="shared" si="40"/>
        <v>0</v>
      </c>
      <c r="J90" s="3">
        <f t="shared" si="40"/>
        <v>0</v>
      </c>
      <c r="K90" s="3">
        <f t="shared" si="40"/>
        <v>0</v>
      </c>
      <c r="M90" s="10" t="s">
        <v>0</v>
      </c>
      <c r="N90" s="10" t="s">
        <v>184</v>
      </c>
    </row>
    <row r="91" spans="1:14" ht="15" customHeight="1" collapsed="1" x14ac:dyDescent="0.2">
      <c r="E91" s="3"/>
      <c r="F91" s="3"/>
      <c r="G91" s="3"/>
      <c r="H91" s="3"/>
      <c r="I91" s="3"/>
      <c r="J91" s="3"/>
      <c r="K91" s="3"/>
    </row>
    <row r="92" spans="1:14" ht="15" customHeight="1" x14ac:dyDescent="0.2">
      <c r="E92" s="3"/>
      <c r="F92" s="3"/>
      <c r="G92" s="3"/>
      <c r="H92" s="3"/>
      <c r="I92" s="3"/>
      <c r="J92" s="3"/>
      <c r="K92" s="3"/>
    </row>
    <row r="93" spans="1:14" ht="15" customHeight="1" x14ac:dyDescent="0.2">
      <c r="A93" s="15" t="s">
        <v>359</v>
      </c>
      <c r="C93" s="11"/>
      <c r="N93" s="10" t="s">
        <v>378</v>
      </c>
    </row>
    <row r="94" spans="1:14" ht="15" hidden="1" customHeight="1" outlineLevel="1" x14ac:dyDescent="0.2">
      <c r="C94" s="11"/>
    </row>
    <row r="95" spans="1:14" ht="15" hidden="1" customHeight="1" outlineLevel="1" x14ac:dyDescent="0.2">
      <c r="A95" s="17" t="s">
        <v>245</v>
      </c>
      <c r="C95" s="18"/>
      <c r="N95" s="10" t="s">
        <v>378</v>
      </c>
    </row>
    <row r="96" spans="1:14" ht="15" hidden="1" customHeight="1" outlineLevel="1" x14ac:dyDescent="0.2">
      <c r="B96" s="10" t="s">
        <v>246</v>
      </c>
      <c r="C96" s="11" t="s">
        <v>300</v>
      </c>
      <c r="E96" s="41">
        <v>1</v>
      </c>
      <c r="F96" s="41">
        <v>1</v>
      </c>
      <c r="G96" s="41">
        <f>MIN(1,(G24/G22))</f>
        <v>0.4375</v>
      </c>
      <c r="H96" s="41">
        <v>1</v>
      </c>
      <c r="I96" s="41">
        <v>1</v>
      </c>
      <c r="J96" s="41">
        <f>MIN(1,(J24/J22))</f>
        <v>0.4375</v>
      </c>
      <c r="K96" s="41">
        <f t="shared" ref="K96" si="41">MIN(1,(K24/K22))</f>
        <v>0.4375</v>
      </c>
    </row>
    <row r="97" spans="1:14" ht="15" hidden="1" customHeight="1" outlineLevel="1" x14ac:dyDescent="0.2">
      <c r="B97" s="10" t="s">
        <v>247</v>
      </c>
      <c r="C97" s="11" t="s">
        <v>300</v>
      </c>
      <c r="E97" s="41">
        <v>1</v>
      </c>
      <c r="F97" s="41">
        <v>1</v>
      </c>
      <c r="G97" s="41">
        <f>MIN(1,(G24/G22))</f>
        <v>0.4375</v>
      </c>
      <c r="H97" s="41">
        <v>1</v>
      </c>
      <c r="I97" s="41">
        <v>1</v>
      </c>
      <c r="J97" s="41">
        <f>MIN(1,(J24/J22))</f>
        <v>0.4375</v>
      </c>
      <c r="K97" s="41">
        <f t="shared" ref="K97" si="42">MIN(1,(K24/K22))</f>
        <v>0.4375</v>
      </c>
    </row>
    <row r="98" spans="1:14" ht="15" hidden="1" customHeight="1" outlineLevel="1" x14ac:dyDescent="0.2">
      <c r="B98" s="10" t="s">
        <v>248</v>
      </c>
      <c r="C98" s="11" t="s">
        <v>300</v>
      </c>
      <c r="E98" s="41">
        <v>1</v>
      </c>
      <c r="F98" s="41">
        <v>1</v>
      </c>
      <c r="G98" s="41">
        <f>MIN(1,(G24/G22))</f>
        <v>0.4375</v>
      </c>
      <c r="H98" s="41">
        <v>1</v>
      </c>
      <c r="I98" s="41">
        <v>1</v>
      </c>
      <c r="J98" s="41">
        <f>MIN(1,(J24/J22))</f>
        <v>0.4375</v>
      </c>
      <c r="K98" s="41">
        <f t="shared" ref="K98" si="43">MIN(1,(K24/K22))</f>
        <v>0.4375</v>
      </c>
    </row>
    <row r="99" spans="1:14" ht="15" hidden="1" customHeight="1" outlineLevel="1" x14ac:dyDescent="0.2">
      <c r="B99" s="10" t="s">
        <v>249</v>
      </c>
      <c r="C99" s="11" t="s">
        <v>300</v>
      </c>
      <c r="E99" s="42">
        <v>0</v>
      </c>
      <c r="F99" s="41">
        <f>MIN(1,(F24/F22))</f>
        <v>0.4375</v>
      </c>
      <c r="G99" s="41">
        <v>1</v>
      </c>
      <c r="H99" s="42">
        <v>0</v>
      </c>
      <c r="I99" s="42">
        <v>0</v>
      </c>
      <c r="J99" s="41">
        <v>1</v>
      </c>
      <c r="K99" s="42">
        <f>MIN(1,(K24/K22))</f>
        <v>0.4375</v>
      </c>
    </row>
    <row r="100" spans="1:14" ht="15" hidden="1" customHeight="1" outlineLevel="1" x14ac:dyDescent="0.2">
      <c r="B100" s="10" t="s">
        <v>250</v>
      </c>
      <c r="C100" s="11" t="s">
        <v>300</v>
      </c>
      <c r="E100" s="42">
        <v>0</v>
      </c>
      <c r="F100" s="41">
        <v>1</v>
      </c>
      <c r="G100" s="41">
        <f>MIN(1,(G24/G22))</f>
        <v>0.4375</v>
      </c>
      <c r="H100" s="42">
        <v>0</v>
      </c>
      <c r="I100" s="42">
        <v>0</v>
      </c>
      <c r="J100" s="41">
        <f>MIN(1,(J24/J22))</f>
        <v>0.4375</v>
      </c>
      <c r="K100" s="42">
        <f t="shared" ref="K100" si="44">MIN(1,(K24/K22))</f>
        <v>0.4375</v>
      </c>
    </row>
    <row r="101" spans="1:14" ht="15" hidden="1" customHeight="1" outlineLevel="1" x14ac:dyDescent="0.2">
      <c r="B101" s="10" t="s">
        <v>251</v>
      </c>
      <c r="C101" s="11" t="s">
        <v>300</v>
      </c>
      <c r="E101" s="42">
        <v>0</v>
      </c>
      <c r="F101" s="42">
        <f>F99</f>
        <v>0.4375</v>
      </c>
      <c r="G101" s="42">
        <v>0</v>
      </c>
      <c r="H101" s="42">
        <v>0</v>
      </c>
      <c r="I101" s="42">
        <v>0</v>
      </c>
      <c r="J101" s="42">
        <v>0</v>
      </c>
      <c r="K101" s="42">
        <f>MIN(1,(K24/K22))</f>
        <v>0.4375</v>
      </c>
    </row>
    <row r="102" spans="1:14" ht="15" hidden="1" customHeight="1" outlineLevel="1" x14ac:dyDescent="0.2">
      <c r="B102" s="10" t="s">
        <v>252</v>
      </c>
      <c r="C102" s="11" t="s">
        <v>300</v>
      </c>
      <c r="E102" s="42">
        <v>0</v>
      </c>
      <c r="F102" s="42">
        <v>1</v>
      </c>
      <c r="G102" s="42">
        <v>0</v>
      </c>
      <c r="H102" s="42">
        <v>0</v>
      </c>
      <c r="I102" s="42">
        <v>0</v>
      </c>
      <c r="J102" s="42">
        <v>0</v>
      </c>
      <c r="K102" s="42">
        <f>MIN(1,(K24/K22))</f>
        <v>0.4375</v>
      </c>
    </row>
    <row r="103" spans="1:14" ht="15" hidden="1" customHeight="1" outlineLevel="1" x14ac:dyDescent="0.2">
      <c r="B103" s="10" t="s">
        <v>318</v>
      </c>
      <c r="C103" s="11" t="s">
        <v>300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</row>
    <row r="104" spans="1:14" ht="15" hidden="1" customHeight="1" outlineLevel="1" x14ac:dyDescent="0.2">
      <c r="A104" s="15"/>
      <c r="C104" s="11"/>
    </row>
    <row r="105" spans="1:14" ht="15" hidden="1" customHeight="1" outlineLevel="1" x14ac:dyDescent="0.2">
      <c r="A105" s="17" t="s">
        <v>226</v>
      </c>
      <c r="C105" s="18"/>
      <c r="N105" s="10" t="s">
        <v>265</v>
      </c>
    </row>
    <row r="106" spans="1:14" ht="15" hidden="1" customHeight="1" outlineLevel="1" x14ac:dyDescent="0.2">
      <c r="B106" s="10" t="s">
        <v>227</v>
      </c>
      <c r="C106" s="11" t="s">
        <v>47</v>
      </c>
      <c r="E106" s="27">
        <f t="shared" ref="E106:K106" si="45">E30</f>
        <v>25</v>
      </c>
      <c r="F106" s="27">
        <f t="shared" si="45"/>
        <v>25</v>
      </c>
      <c r="G106" s="27">
        <f t="shared" si="45"/>
        <v>25</v>
      </c>
      <c r="H106" s="27">
        <f t="shared" si="45"/>
        <v>25</v>
      </c>
      <c r="I106" s="27">
        <f t="shared" si="45"/>
        <v>12.5</v>
      </c>
      <c r="J106" s="27">
        <f t="shared" si="45"/>
        <v>12.5</v>
      </c>
      <c r="K106" s="27">
        <f t="shared" si="45"/>
        <v>30</v>
      </c>
      <c r="M106" s="10" t="s">
        <v>0</v>
      </c>
    </row>
    <row r="107" spans="1:14" ht="15" hidden="1" customHeight="1" outlineLevel="1" x14ac:dyDescent="0.2">
      <c r="B107" s="10" t="s">
        <v>228</v>
      </c>
      <c r="C107" s="11" t="s">
        <v>253</v>
      </c>
      <c r="E107" s="27">
        <f t="shared" ref="E107:K107" si="46">E30*E96</f>
        <v>25</v>
      </c>
      <c r="F107" s="27">
        <f t="shared" si="46"/>
        <v>25</v>
      </c>
      <c r="G107" s="27">
        <f t="shared" si="46"/>
        <v>10.9375</v>
      </c>
      <c r="H107" s="27">
        <f t="shared" si="46"/>
        <v>25</v>
      </c>
      <c r="I107" s="27">
        <f t="shared" si="46"/>
        <v>12.5</v>
      </c>
      <c r="J107" s="27">
        <f t="shared" si="46"/>
        <v>5.46875</v>
      </c>
      <c r="K107" s="27">
        <f t="shared" si="46"/>
        <v>13.125</v>
      </c>
      <c r="M107" s="10" t="s">
        <v>0</v>
      </c>
    </row>
    <row r="108" spans="1:14" ht="15" hidden="1" customHeight="1" outlineLevel="1" x14ac:dyDescent="0.2">
      <c r="B108" s="10" t="s">
        <v>229</v>
      </c>
      <c r="C108" s="11" t="s">
        <v>256</v>
      </c>
      <c r="E108" s="23">
        <f t="shared" ref="E108:K108" si="47">(E31-E109)/2</f>
        <v>90</v>
      </c>
      <c r="F108" s="23">
        <f t="shared" si="47"/>
        <v>90</v>
      </c>
      <c r="G108" s="23">
        <f t="shared" si="47"/>
        <v>0</v>
      </c>
      <c r="H108" s="23">
        <f t="shared" si="47"/>
        <v>96</v>
      </c>
      <c r="I108" s="23">
        <f t="shared" si="47"/>
        <v>90</v>
      </c>
      <c r="J108" s="23">
        <f t="shared" si="47"/>
        <v>0</v>
      </c>
      <c r="K108" s="23">
        <f t="shared" si="47"/>
        <v>0</v>
      </c>
      <c r="M108" s="10" t="s">
        <v>0</v>
      </c>
    </row>
    <row r="109" spans="1:14" ht="15" hidden="1" customHeight="1" outlineLevel="1" x14ac:dyDescent="0.2">
      <c r="B109" s="10" t="s">
        <v>230</v>
      </c>
      <c r="C109" s="11" t="s">
        <v>255</v>
      </c>
      <c r="E109" s="23">
        <f t="shared" ref="E109:K109" si="48">E34+2*E42</f>
        <v>20</v>
      </c>
      <c r="F109" s="23">
        <f t="shared" si="48"/>
        <v>20</v>
      </c>
      <c r="G109" s="23">
        <f t="shared" si="48"/>
        <v>200</v>
      </c>
      <c r="H109" s="23">
        <f t="shared" si="48"/>
        <v>8</v>
      </c>
      <c r="I109" s="23">
        <f t="shared" si="48"/>
        <v>20</v>
      </c>
      <c r="J109" s="23">
        <f t="shared" si="48"/>
        <v>200</v>
      </c>
      <c r="K109" s="23">
        <f t="shared" si="48"/>
        <v>400</v>
      </c>
      <c r="M109" s="10" t="s">
        <v>0</v>
      </c>
    </row>
    <row r="110" spans="1:14" ht="15" hidden="1" customHeight="1" outlineLevel="1" x14ac:dyDescent="0.2">
      <c r="B110" s="10" t="s">
        <v>231</v>
      </c>
      <c r="C110" s="11" t="s">
        <v>45</v>
      </c>
      <c r="E110" s="27">
        <f t="shared" ref="E110:K110" si="49">E32</f>
        <v>25</v>
      </c>
      <c r="F110" s="27">
        <f t="shared" si="49"/>
        <v>25</v>
      </c>
      <c r="G110" s="27">
        <f t="shared" si="49"/>
        <v>25</v>
      </c>
      <c r="H110" s="27">
        <f t="shared" si="49"/>
        <v>25</v>
      </c>
      <c r="I110" s="27">
        <f t="shared" si="49"/>
        <v>12.5</v>
      </c>
      <c r="J110" s="27">
        <f t="shared" si="49"/>
        <v>12.5</v>
      </c>
      <c r="K110" s="27">
        <f t="shared" si="49"/>
        <v>30</v>
      </c>
      <c r="M110" s="10" t="s">
        <v>0</v>
      </c>
    </row>
    <row r="111" spans="1:14" ht="15" hidden="1" customHeight="1" outlineLevel="1" x14ac:dyDescent="0.2">
      <c r="B111" s="10" t="s">
        <v>232</v>
      </c>
      <c r="C111" s="11" t="s">
        <v>254</v>
      </c>
      <c r="E111" s="27">
        <f t="shared" ref="E111:K111" si="50">E32*E97</f>
        <v>25</v>
      </c>
      <c r="F111" s="27">
        <f t="shared" si="50"/>
        <v>25</v>
      </c>
      <c r="G111" s="27">
        <f t="shared" si="50"/>
        <v>10.9375</v>
      </c>
      <c r="H111" s="27">
        <f t="shared" si="50"/>
        <v>25</v>
      </c>
      <c r="I111" s="27">
        <f t="shared" si="50"/>
        <v>12.5</v>
      </c>
      <c r="J111" s="27">
        <f t="shared" si="50"/>
        <v>5.46875</v>
      </c>
      <c r="K111" s="27">
        <f t="shared" si="50"/>
        <v>13.125</v>
      </c>
      <c r="M111" s="10" t="s">
        <v>0</v>
      </c>
    </row>
    <row r="112" spans="1:14" ht="15" hidden="1" customHeight="1" outlineLevel="1" x14ac:dyDescent="0.2">
      <c r="B112" s="10" t="s">
        <v>233</v>
      </c>
      <c r="C112" s="11" t="s">
        <v>257</v>
      </c>
      <c r="E112" s="23">
        <f t="shared" ref="E112:K112" si="51">(E33-E113)/2</f>
        <v>90</v>
      </c>
      <c r="F112" s="23">
        <f t="shared" si="51"/>
        <v>90</v>
      </c>
      <c r="G112" s="23">
        <f t="shared" si="51"/>
        <v>0</v>
      </c>
      <c r="H112" s="23">
        <f t="shared" si="51"/>
        <v>96</v>
      </c>
      <c r="I112" s="23">
        <f t="shared" si="51"/>
        <v>90</v>
      </c>
      <c r="J112" s="23">
        <f t="shared" si="51"/>
        <v>0</v>
      </c>
      <c r="K112" s="23">
        <f t="shared" si="51"/>
        <v>0</v>
      </c>
      <c r="M112" s="10" t="s">
        <v>0</v>
      </c>
    </row>
    <row r="113" spans="1:13" ht="15" hidden="1" customHeight="1" outlineLevel="1" x14ac:dyDescent="0.2">
      <c r="B113" s="10" t="s">
        <v>234</v>
      </c>
      <c r="C113" s="11" t="s">
        <v>258</v>
      </c>
      <c r="E113" s="23">
        <f t="shared" ref="E113:K113" si="52">E34+2*E43</f>
        <v>20</v>
      </c>
      <c r="F113" s="23">
        <f t="shared" si="52"/>
        <v>20</v>
      </c>
      <c r="G113" s="23">
        <f t="shared" si="52"/>
        <v>200</v>
      </c>
      <c r="H113" s="23">
        <f t="shared" si="52"/>
        <v>8</v>
      </c>
      <c r="I113" s="23">
        <f t="shared" si="52"/>
        <v>20</v>
      </c>
      <c r="J113" s="23">
        <f t="shared" si="52"/>
        <v>200</v>
      </c>
      <c r="K113" s="23">
        <f t="shared" si="52"/>
        <v>400</v>
      </c>
      <c r="M113" s="10" t="s">
        <v>0</v>
      </c>
    </row>
    <row r="114" spans="1:13" ht="15" hidden="1" customHeight="1" outlineLevel="1" x14ac:dyDescent="0.2">
      <c r="B114" s="10" t="s">
        <v>235</v>
      </c>
      <c r="C114" s="11" t="s">
        <v>259</v>
      </c>
      <c r="E114" s="27">
        <f t="shared" ref="E114:K114" si="53">E34*E98</f>
        <v>20</v>
      </c>
      <c r="F114" s="27">
        <f t="shared" si="53"/>
        <v>20</v>
      </c>
      <c r="G114" s="27">
        <f t="shared" si="53"/>
        <v>8.75</v>
      </c>
      <c r="H114" s="27">
        <f t="shared" si="53"/>
        <v>8</v>
      </c>
      <c r="I114" s="27">
        <f t="shared" si="53"/>
        <v>20</v>
      </c>
      <c r="J114" s="27">
        <f t="shared" si="53"/>
        <v>8.75</v>
      </c>
      <c r="K114" s="27">
        <f t="shared" si="53"/>
        <v>10.9375</v>
      </c>
      <c r="M114" s="10" t="s">
        <v>0</v>
      </c>
    </row>
    <row r="115" spans="1:13" ht="15" hidden="1" customHeight="1" outlineLevel="1" x14ac:dyDescent="0.2">
      <c r="B115" s="10" t="s">
        <v>236</v>
      </c>
      <c r="C115" s="11" t="s">
        <v>260</v>
      </c>
      <c r="E115" s="27">
        <f t="shared" ref="E115:K115" si="54">E34*E99</f>
        <v>0</v>
      </c>
      <c r="F115" s="27">
        <f t="shared" si="54"/>
        <v>8.75</v>
      </c>
      <c r="G115" s="27">
        <f t="shared" si="54"/>
        <v>20</v>
      </c>
      <c r="H115" s="27">
        <f t="shared" si="54"/>
        <v>0</v>
      </c>
      <c r="I115" s="27">
        <f t="shared" si="54"/>
        <v>0</v>
      </c>
      <c r="J115" s="27">
        <f t="shared" si="54"/>
        <v>20</v>
      </c>
      <c r="K115" s="27">
        <f t="shared" si="54"/>
        <v>10.9375</v>
      </c>
      <c r="M115" s="10" t="s">
        <v>0</v>
      </c>
    </row>
    <row r="116" spans="1:13" ht="15" hidden="1" customHeight="1" outlineLevel="1" x14ac:dyDescent="0.2">
      <c r="B116" s="10" t="s">
        <v>237</v>
      </c>
      <c r="C116" s="11" t="s">
        <v>261</v>
      </c>
      <c r="E116" s="27">
        <f t="shared" ref="E116:K116" si="55">E34*E100</f>
        <v>0</v>
      </c>
      <c r="F116" s="27">
        <f t="shared" si="55"/>
        <v>20</v>
      </c>
      <c r="G116" s="27">
        <f t="shared" si="55"/>
        <v>8.75</v>
      </c>
      <c r="H116" s="27">
        <f t="shared" si="55"/>
        <v>0</v>
      </c>
      <c r="I116" s="27">
        <f t="shared" si="55"/>
        <v>0</v>
      </c>
      <c r="J116" s="27">
        <f t="shared" si="55"/>
        <v>8.75</v>
      </c>
      <c r="K116" s="27">
        <f t="shared" si="55"/>
        <v>10.9375</v>
      </c>
      <c r="M116" s="10" t="s">
        <v>0</v>
      </c>
    </row>
    <row r="117" spans="1:13" ht="15" hidden="1" customHeight="1" outlineLevel="1" x14ac:dyDescent="0.2">
      <c r="B117" s="10" t="s">
        <v>238</v>
      </c>
      <c r="C117" s="11" t="s">
        <v>262</v>
      </c>
      <c r="E117" s="27">
        <f t="shared" ref="E117:K117" si="56">E34*E101</f>
        <v>0</v>
      </c>
      <c r="F117" s="27">
        <f t="shared" si="56"/>
        <v>8.75</v>
      </c>
      <c r="G117" s="27">
        <f t="shared" si="56"/>
        <v>0</v>
      </c>
      <c r="H117" s="27">
        <f t="shared" si="56"/>
        <v>0</v>
      </c>
      <c r="I117" s="27">
        <f t="shared" si="56"/>
        <v>0</v>
      </c>
      <c r="J117" s="27">
        <f t="shared" si="56"/>
        <v>0</v>
      </c>
      <c r="K117" s="27">
        <f t="shared" si="56"/>
        <v>10.9375</v>
      </c>
      <c r="M117" s="10" t="s">
        <v>0</v>
      </c>
    </row>
    <row r="118" spans="1:13" ht="15" hidden="1" customHeight="1" outlineLevel="1" x14ac:dyDescent="0.2">
      <c r="B118" s="10" t="s">
        <v>239</v>
      </c>
      <c r="C118" s="11" t="s">
        <v>263</v>
      </c>
      <c r="E118" s="27">
        <f t="shared" ref="E118:K118" si="57">E34*E102</f>
        <v>0</v>
      </c>
      <c r="F118" s="27">
        <f t="shared" si="57"/>
        <v>20</v>
      </c>
      <c r="G118" s="27">
        <f t="shared" si="57"/>
        <v>0</v>
      </c>
      <c r="H118" s="27">
        <f t="shared" si="57"/>
        <v>0</v>
      </c>
      <c r="I118" s="27">
        <f t="shared" si="57"/>
        <v>0</v>
      </c>
      <c r="J118" s="27">
        <f t="shared" si="57"/>
        <v>0</v>
      </c>
      <c r="K118" s="27">
        <f t="shared" si="57"/>
        <v>10.9375</v>
      </c>
      <c r="M118" s="10" t="s">
        <v>0</v>
      </c>
    </row>
    <row r="119" spans="1:13" ht="15" hidden="1" customHeight="1" outlineLevel="1" x14ac:dyDescent="0.2">
      <c r="B119" s="10" t="s">
        <v>316</v>
      </c>
      <c r="C119" s="11" t="s">
        <v>317</v>
      </c>
      <c r="E119" s="27">
        <f t="shared" ref="E119:K119" si="58">E34*E103</f>
        <v>0</v>
      </c>
      <c r="F119" s="27">
        <f t="shared" si="58"/>
        <v>0</v>
      </c>
      <c r="G119" s="27">
        <f t="shared" si="58"/>
        <v>0</v>
      </c>
      <c r="H119" s="27">
        <f t="shared" si="58"/>
        <v>0</v>
      </c>
      <c r="I119" s="27">
        <f t="shared" si="58"/>
        <v>0</v>
      </c>
      <c r="J119" s="27">
        <f t="shared" si="58"/>
        <v>0</v>
      </c>
      <c r="K119" s="27">
        <f t="shared" si="58"/>
        <v>0</v>
      </c>
      <c r="M119" s="10" t="s">
        <v>0</v>
      </c>
    </row>
    <row r="120" spans="1:13" ht="15" hidden="1" customHeight="1" outlineLevel="1" x14ac:dyDescent="0.2">
      <c r="B120" s="10" t="s">
        <v>240</v>
      </c>
      <c r="C120" s="11" t="s">
        <v>264</v>
      </c>
      <c r="E120" s="43">
        <f>E35</f>
        <v>650</v>
      </c>
      <c r="F120" s="43">
        <f>F45-F44</f>
        <v>65</v>
      </c>
      <c r="G120" s="43">
        <f>G44</f>
        <v>35</v>
      </c>
      <c r="H120" s="43">
        <f>H35</f>
        <v>650</v>
      </c>
      <c r="I120" s="43">
        <f>I35</f>
        <v>675</v>
      </c>
      <c r="J120" s="43">
        <f>J44</f>
        <v>35</v>
      </c>
      <c r="K120" s="43">
        <f>K35/5</f>
        <v>188</v>
      </c>
      <c r="M120" s="10" t="s">
        <v>0</v>
      </c>
    </row>
    <row r="121" spans="1:13" ht="15" hidden="1" customHeight="1" outlineLevel="1" x14ac:dyDescent="0.2">
      <c r="B121" s="10" t="s">
        <v>241</v>
      </c>
      <c r="C121" s="11" t="s">
        <v>264</v>
      </c>
      <c r="E121" s="43">
        <v>0</v>
      </c>
      <c r="F121" s="43">
        <f>2*F44</f>
        <v>70</v>
      </c>
      <c r="G121" s="43">
        <f>G35-G120-G122</f>
        <v>580</v>
      </c>
      <c r="H121" s="43">
        <v>0</v>
      </c>
      <c r="I121" s="43">
        <v>0</v>
      </c>
      <c r="J121" s="43">
        <f>J35-J120-J122</f>
        <v>605</v>
      </c>
      <c r="K121" s="43">
        <f>K35/5</f>
        <v>188</v>
      </c>
      <c r="M121" s="10" t="s">
        <v>0</v>
      </c>
    </row>
    <row r="122" spans="1:13" ht="15" hidden="1" customHeight="1" outlineLevel="1" x14ac:dyDescent="0.2">
      <c r="B122" s="10" t="s">
        <v>242</v>
      </c>
      <c r="C122" s="11" t="s">
        <v>264</v>
      </c>
      <c r="E122" s="43">
        <v>0</v>
      </c>
      <c r="F122" s="43">
        <f>F35-F120-F121-F123-F124</f>
        <v>380</v>
      </c>
      <c r="G122" s="43">
        <f>G120</f>
        <v>35</v>
      </c>
      <c r="H122" s="43">
        <v>0</v>
      </c>
      <c r="I122" s="43">
        <v>0</v>
      </c>
      <c r="J122" s="43">
        <f>J120</f>
        <v>35</v>
      </c>
      <c r="K122" s="43">
        <f>K35/5</f>
        <v>188</v>
      </c>
      <c r="M122" s="10" t="s">
        <v>0</v>
      </c>
    </row>
    <row r="123" spans="1:13" ht="15" hidden="1" customHeight="1" outlineLevel="1" x14ac:dyDescent="0.2">
      <c r="B123" s="10" t="s">
        <v>243</v>
      </c>
      <c r="C123" s="11" t="s">
        <v>264</v>
      </c>
      <c r="E123" s="43">
        <v>0</v>
      </c>
      <c r="F123" s="43">
        <f>F121</f>
        <v>70</v>
      </c>
      <c r="G123" s="43">
        <v>0</v>
      </c>
      <c r="H123" s="43">
        <v>0</v>
      </c>
      <c r="I123" s="43">
        <v>0</v>
      </c>
      <c r="J123" s="43">
        <v>0</v>
      </c>
      <c r="K123" s="43">
        <f>K35/5</f>
        <v>188</v>
      </c>
      <c r="M123" s="10" t="s">
        <v>0</v>
      </c>
    </row>
    <row r="124" spans="1:13" ht="15" hidden="1" customHeight="1" outlineLevel="1" x14ac:dyDescent="0.2">
      <c r="B124" s="10" t="s">
        <v>244</v>
      </c>
      <c r="C124" s="11" t="s">
        <v>264</v>
      </c>
      <c r="E124" s="43">
        <v>0</v>
      </c>
      <c r="F124" s="43">
        <f>F120</f>
        <v>65</v>
      </c>
      <c r="G124" s="43">
        <v>0</v>
      </c>
      <c r="H124" s="43">
        <v>0</v>
      </c>
      <c r="I124" s="43">
        <v>0</v>
      </c>
      <c r="J124" s="43">
        <v>0</v>
      </c>
      <c r="K124" s="43">
        <f>K35/5</f>
        <v>188</v>
      </c>
      <c r="M124" s="10" t="s">
        <v>0</v>
      </c>
    </row>
    <row r="125" spans="1:13" ht="15" hidden="1" customHeight="1" outlineLevel="1" x14ac:dyDescent="0.2">
      <c r="B125" s="10" t="s">
        <v>319</v>
      </c>
      <c r="C125" s="11" t="s">
        <v>264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M125" s="10" t="s">
        <v>0</v>
      </c>
    </row>
    <row r="126" spans="1:13" ht="15" hidden="1" customHeight="1" outlineLevel="1" x14ac:dyDescent="0.2">
      <c r="C126" s="11"/>
      <c r="E126" s="28"/>
      <c r="F126" s="28"/>
      <c r="G126" s="28"/>
      <c r="H126" s="28"/>
      <c r="I126" s="28"/>
      <c r="J126" s="28"/>
      <c r="K126" s="28"/>
    </row>
    <row r="127" spans="1:13" ht="15" hidden="1" customHeight="1" outlineLevel="1" x14ac:dyDescent="0.2">
      <c r="A127" s="17" t="s">
        <v>81</v>
      </c>
      <c r="C127" s="18"/>
    </row>
    <row r="128" spans="1:13" ht="15" hidden="1" customHeight="1" outlineLevel="1" x14ac:dyDescent="0.2">
      <c r="B128" s="10" t="s">
        <v>65</v>
      </c>
      <c r="C128" s="11" t="s">
        <v>85</v>
      </c>
      <c r="E128" s="3">
        <f t="shared" ref="E128:K128" si="59">2*E108*E106+E109*E107</f>
        <v>5000</v>
      </c>
      <c r="F128" s="3">
        <f t="shared" si="59"/>
        <v>5000</v>
      </c>
      <c r="G128" s="3">
        <f t="shared" si="59"/>
        <v>2187.5</v>
      </c>
      <c r="H128" s="3">
        <f t="shared" si="59"/>
        <v>5000</v>
      </c>
      <c r="I128" s="3">
        <f t="shared" si="59"/>
        <v>2500</v>
      </c>
      <c r="J128" s="3">
        <f t="shared" si="59"/>
        <v>1093.75</v>
      </c>
      <c r="K128" s="3">
        <f t="shared" si="59"/>
        <v>5250</v>
      </c>
      <c r="M128" s="10" t="s">
        <v>213</v>
      </c>
    </row>
    <row r="129" spans="1:13" ht="15" hidden="1" customHeight="1" outlineLevel="1" x14ac:dyDescent="0.2">
      <c r="B129" s="10" t="s">
        <v>326</v>
      </c>
      <c r="C129" s="11" t="s">
        <v>86</v>
      </c>
      <c r="E129" s="3">
        <f t="shared" ref="E129:K129" si="60">E62</f>
        <v>687.5</v>
      </c>
      <c r="F129" s="3">
        <f t="shared" si="60"/>
        <v>687.5</v>
      </c>
      <c r="G129" s="3">
        <f t="shared" si="60"/>
        <v>687.5</v>
      </c>
      <c r="H129" s="3">
        <f t="shared" si="60"/>
        <v>687.5</v>
      </c>
      <c r="I129" s="3">
        <f t="shared" si="60"/>
        <v>693.75</v>
      </c>
      <c r="J129" s="3">
        <f t="shared" si="60"/>
        <v>693.75</v>
      </c>
      <c r="K129" s="3">
        <f t="shared" si="60"/>
        <v>985</v>
      </c>
      <c r="M129" s="10" t="s">
        <v>0</v>
      </c>
    </row>
    <row r="130" spans="1:13" ht="15" hidden="1" customHeight="1" outlineLevel="1" x14ac:dyDescent="0.2">
      <c r="B130" s="10" t="s">
        <v>66</v>
      </c>
      <c r="C130" s="11" t="s">
        <v>87</v>
      </c>
      <c r="E130" s="26">
        <f t="shared" ref="E130:K130" si="61">2*E108/12*E106^3+E109/12*E107^3+E128*(E161-E129)^2</f>
        <v>569791666.66666663</v>
      </c>
      <c r="F130" s="26">
        <f t="shared" si="61"/>
        <v>569791666.66666663</v>
      </c>
      <c r="G130" s="26">
        <f t="shared" si="61"/>
        <v>249191729.22770181</v>
      </c>
      <c r="H130" s="26">
        <f t="shared" si="61"/>
        <v>569791666.66666663</v>
      </c>
      <c r="I130" s="26">
        <f t="shared" si="61"/>
        <v>295442708.33333331</v>
      </c>
      <c r="J130" s="26">
        <f t="shared" si="61"/>
        <v>129244669.27846272</v>
      </c>
      <c r="K130" s="26">
        <f t="shared" si="61"/>
        <v>1235006616.2109375</v>
      </c>
      <c r="M130" s="10" t="s">
        <v>306</v>
      </c>
    </row>
    <row r="131" spans="1:13" ht="15" hidden="1" customHeight="1" outlineLevel="1" x14ac:dyDescent="0.2">
      <c r="B131" s="10" t="s">
        <v>63</v>
      </c>
      <c r="C131" s="11" t="s">
        <v>82</v>
      </c>
      <c r="E131" s="3">
        <f t="shared" ref="E131:K131" si="62">2*E112*E110+E113*E111</f>
        <v>5000</v>
      </c>
      <c r="F131" s="3">
        <f t="shared" si="62"/>
        <v>5000</v>
      </c>
      <c r="G131" s="3">
        <f t="shared" si="62"/>
        <v>2187.5</v>
      </c>
      <c r="H131" s="3">
        <f t="shared" si="62"/>
        <v>5000</v>
      </c>
      <c r="I131" s="3">
        <f t="shared" si="62"/>
        <v>2500</v>
      </c>
      <c r="J131" s="3">
        <f t="shared" si="62"/>
        <v>1093.75</v>
      </c>
      <c r="K131" s="3">
        <f t="shared" si="62"/>
        <v>5250</v>
      </c>
      <c r="M131" s="10" t="s">
        <v>213</v>
      </c>
    </row>
    <row r="132" spans="1:13" ht="15" hidden="1" customHeight="1" outlineLevel="1" x14ac:dyDescent="0.2">
      <c r="B132" s="10" t="s">
        <v>327</v>
      </c>
      <c r="C132" s="11" t="s">
        <v>83</v>
      </c>
      <c r="E132" s="3">
        <f t="shared" ref="E132:K132" si="63">E65</f>
        <v>12.5</v>
      </c>
      <c r="F132" s="3">
        <f t="shared" si="63"/>
        <v>12.5</v>
      </c>
      <c r="G132" s="3">
        <f t="shared" si="63"/>
        <v>12.5</v>
      </c>
      <c r="H132" s="3">
        <f t="shared" si="63"/>
        <v>12.5</v>
      </c>
      <c r="I132" s="3">
        <f t="shared" si="63"/>
        <v>6.25</v>
      </c>
      <c r="J132" s="3">
        <f t="shared" si="63"/>
        <v>6.25</v>
      </c>
      <c r="K132" s="3">
        <f t="shared" si="63"/>
        <v>15</v>
      </c>
      <c r="M132" s="10" t="s">
        <v>0</v>
      </c>
    </row>
    <row r="133" spans="1:13" ht="15" hidden="1" customHeight="1" outlineLevel="1" x14ac:dyDescent="0.2">
      <c r="B133" s="10" t="s">
        <v>64</v>
      </c>
      <c r="C133" s="11" t="s">
        <v>84</v>
      </c>
      <c r="E133" s="26">
        <f t="shared" ref="E133:K133" si="64">2*E112/12*E110^3+E113/12*E111^3+E131*(E161-E132)^2</f>
        <v>569791666.66666663</v>
      </c>
      <c r="F133" s="26">
        <f t="shared" si="64"/>
        <v>569791666.66666663</v>
      </c>
      <c r="G133" s="26">
        <f t="shared" si="64"/>
        <v>249191729.22770181</v>
      </c>
      <c r="H133" s="26">
        <f t="shared" si="64"/>
        <v>569791666.66666663</v>
      </c>
      <c r="I133" s="26">
        <f t="shared" si="64"/>
        <v>295442708.33333331</v>
      </c>
      <c r="J133" s="26">
        <f t="shared" si="64"/>
        <v>129244669.27846272</v>
      </c>
      <c r="K133" s="26">
        <f t="shared" si="64"/>
        <v>1235006616.2109375</v>
      </c>
      <c r="M133" s="10" t="s">
        <v>306</v>
      </c>
    </row>
    <row r="134" spans="1:13" ht="15" hidden="1" customHeight="1" outlineLevel="1" x14ac:dyDescent="0.2">
      <c r="B134" s="10" t="s">
        <v>40</v>
      </c>
      <c r="C134" s="11" t="s">
        <v>88</v>
      </c>
      <c r="E134" s="3">
        <f t="shared" ref="E134:K134" si="65">SUM(E139,E142,E145,E148,E151,E154)</f>
        <v>13000</v>
      </c>
      <c r="F134" s="3">
        <f t="shared" si="65"/>
        <v>11425</v>
      </c>
      <c r="G134" s="3">
        <f t="shared" si="65"/>
        <v>12212.5</v>
      </c>
      <c r="H134" s="3">
        <f t="shared" si="65"/>
        <v>5200</v>
      </c>
      <c r="I134" s="3">
        <f t="shared" si="65"/>
        <v>13500</v>
      </c>
      <c r="J134" s="3">
        <f t="shared" si="65"/>
        <v>12712.5</v>
      </c>
      <c r="K134" s="3">
        <f t="shared" si="65"/>
        <v>10281.25</v>
      </c>
      <c r="M134" s="10" t="s">
        <v>213</v>
      </c>
    </row>
    <row r="135" spans="1:13" ht="15" hidden="1" customHeight="1" outlineLevel="1" x14ac:dyDescent="0.2">
      <c r="B135" s="10" t="s">
        <v>328</v>
      </c>
      <c r="C135" s="11" t="s">
        <v>89</v>
      </c>
      <c r="E135" s="3">
        <f t="shared" ref="E135:K135" si="66">(E139*E140+E142*E143+E145*E146+E148*E149+E151*E152+E154*E155)/E134</f>
        <v>350</v>
      </c>
      <c r="F135" s="3">
        <f t="shared" si="66"/>
        <v>350</v>
      </c>
      <c r="G135" s="3">
        <f t="shared" si="66"/>
        <v>350</v>
      </c>
      <c r="H135" s="3">
        <f t="shared" si="66"/>
        <v>350</v>
      </c>
      <c r="I135" s="3">
        <f t="shared" si="66"/>
        <v>350</v>
      </c>
      <c r="J135" s="3">
        <f t="shared" si="66"/>
        <v>350</v>
      </c>
      <c r="K135" s="3">
        <f t="shared" si="66"/>
        <v>500</v>
      </c>
      <c r="M135" s="10" t="s">
        <v>0</v>
      </c>
    </row>
    <row r="136" spans="1:13" ht="15" hidden="1" customHeight="1" outlineLevel="1" x14ac:dyDescent="0.2">
      <c r="B136" s="10" t="s">
        <v>67</v>
      </c>
      <c r="C136" s="11" t="s">
        <v>90</v>
      </c>
      <c r="E136" s="26">
        <f t="shared" ref="E136:K136" si="67">SUM(E141,E144,E147,E150,E153,E156)</f>
        <v>457708333.33333337</v>
      </c>
      <c r="F136" s="26">
        <f t="shared" si="67"/>
        <v>377330833.33333331</v>
      </c>
      <c r="G136" s="26">
        <f t="shared" si="67"/>
        <v>383164895.83333331</v>
      </c>
      <c r="H136" s="26">
        <f t="shared" si="67"/>
        <v>183083333.33333331</v>
      </c>
      <c r="I136" s="26">
        <f t="shared" si="67"/>
        <v>512578125</v>
      </c>
      <c r="J136" s="26">
        <f t="shared" si="67"/>
        <v>431857734.375</v>
      </c>
      <c r="K136" s="26">
        <f t="shared" si="67"/>
        <v>757042708.33333349</v>
      </c>
      <c r="M136" s="10" t="s">
        <v>306</v>
      </c>
    </row>
    <row r="137" spans="1:13" ht="15" hidden="1" customHeight="1" outlineLevel="1" x14ac:dyDescent="0.2">
      <c r="C137" s="11"/>
      <c r="E137" s="28"/>
      <c r="F137" s="28"/>
      <c r="G137" s="28"/>
      <c r="H137" s="28"/>
      <c r="I137" s="28"/>
      <c r="J137" s="28"/>
      <c r="K137" s="28"/>
    </row>
    <row r="138" spans="1:13" ht="15" hidden="1" customHeight="1" outlineLevel="1" x14ac:dyDescent="0.2">
      <c r="A138" s="17" t="s">
        <v>299</v>
      </c>
      <c r="C138" s="18"/>
    </row>
    <row r="139" spans="1:13" ht="15" hidden="1" customHeight="1" outlineLevel="1" x14ac:dyDescent="0.2">
      <c r="B139" s="10" t="s">
        <v>271</v>
      </c>
      <c r="C139" s="11" t="s">
        <v>273</v>
      </c>
      <c r="E139" s="3">
        <f t="shared" ref="E139:K139" si="68">E114*E120</f>
        <v>13000</v>
      </c>
      <c r="F139" s="3">
        <f t="shared" si="68"/>
        <v>1300</v>
      </c>
      <c r="G139" s="3">
        <f t="shared" si="68"/>
        <v>306.25</v>
      </c>
      <c r="H139" s="3">
        <f t="shared" si="68"/>
        <v>5200</v>
      </c>
      <c r="I139" s="3">
        <f t="shared" si="68"/>
        <v>13500</v>
      </c>
      <c r="J139" s="3">
        <f t="shared" si="68"/>
        <v>306.25</v>
      </c>
      <c r="K139" s="3">
        <f t="shared" si="68"/>
        <v>2056.25</v>
      </c>
      <c r="M139" s="10" t="s">
        <v>213</v>
      </c>
    </row>
    <row r="140" spans="1:13" ht="15" hidden="1" customHeight="1" outlineLevel="1" x14ac:dyDescent="0.2">
      <c r="B140" s="10" t="s">
        <v>148</v>
      </c>
      <c r="C140" s="11" t="s">
        <v>274</v>
      </c>
      <c r="E140" s="3">
        <f t="shared" ref="E140:K140" si="69">E35+E32-E120/2</f>
        <v>350</v>
      </c>
      <c r="F140" s="3">
        <f t="shared" si="69"/>
        <v>642.5</v>
      </c>
      <c r="G140" s="3">
        <f t="shared" si="69"/>
        <v>657.5</v>
      </c>
      <c r="H140" s="3">
        <f t="shared" si="69"/>
        <v>350</v>
      </c>
      <c r="I140" s="3">
        <f t="shared" si="69"/>
        <v>350</v>
      </c>
      <c r="J140" s="3">
        <f t="shared" si="69"/>
        <v>670</v>
      </c>
      <c r="K140" s="3">
        <f t="shared" si="69"/>
        <v>876</v>
      </c>
      <c r="M140" s="10" t="s">
        <v>0</v>
      </c>
    </row>
    <row r="141" spans="1:13" ht="15" hidden="1" customHeight="1" outlineLevel="1" x14ac:dyDescent="0.2">
      <c r="B141" s="10" t="s">
        <v>272</v>
      </c>
      <c r="C141" s="11" t="s">
        <v>275</v>
      </c>
      <c r="E141" s="26">
        <f t="shared" ref="E141:K141" si="70">E114/12*E120^3+E139*(E140-E161)^2</f>
        <v>457708333.33333337</v>
      </c>
      <c r="F141" s="26">
        <f t="shared" si="70"/>
        <v>111680833.33333333</v>
      </c>
      <c r="G141" s="26">
        <f t="shared" si="70"/>
        <v>28989114.583333332</v>
      </c>
      <c r="H141" s="26">
        <f t="shared" si="70"/>
        <v>183083333.33333331</v>
      </c>
      <c r="I141" s="26">
        <f t="shared" si="70"/>
        <v>512578125</v>
      </c>
      <c r="J141" s="26">
        <f t="shared" si="70"/>
        <v>31391263.020833332</v>
      </c>
      <c r="K141" s="26">
        <f t="shared" si="70"/>
        <v>296760741.66666669</v>
      </c>
      <c r="M141" s="10" t="s">
        <v>306</v>
      </c>
    </row>
    <row r="142" spans="1:13" ht="15" hidden="1" customHeight="1" outlineLevel="1" x14ac:dyDescent="0.2">
      <c r="B142" s="10" t="s">
        <v>276</v>
      </c>
      <c r="C142" s="11" t="s">
        <v>277</v>
      </c>
      <c r="E142" s="3">
        <f t="shared" ref="E142:K142" si="71">E115*E121</f>
        <v>0</v>
      </c>
      <c r="F142" s="3">
        <f t="shared" si="71"/>
        <v>612.5</v>
      </c>
      <c r="G142" s="3">
        <f t="shared" si="71"/>
        <v>11600</v>
      </c>
      <c r="H142" s="3">
        <f t="shared" si="71"/>
        <v>0</v>
      </c>
      <c r="I142" s="3">
        <f t="shared" si="71"/>
        <v>0</v>
      </c>
      <c r="J142" s="3">
        <f t="shared" si="71"/>
        <v>12100</v>
      </c>
      <c r="K142" s="3">
        <f t="shared" si="71"/>
        <v>2056.25</v>
      </c>
      <c r="M142" s="10" t="s">
        <v>213</v>
      </c>
    </row>
    <row r="143" spans="1:13" ht="15" hidden="1" customHeight="1" outlineLevel="1" x14ac:dyDescent="0.2">
      <c r="B143" s="10" t="s">
        <v>149</v>
      </c>
      <c r="C143" s="11" t="s">
        <v>278</v>
      </c>
      <c r="E143" s="3">
        <f t="shared" ref="E143:K143" si="72">E35+E32-E120-E121/2</f>
        <v>25</v>
      </c>
      <c r="F143" s="3">
        <f t="shared" si="72"/>
        <v>575</v>
      </c>
      <c r="G143" s="3">
        <f t="shared" si="72"/>
        <v>350</v>
      </c>
      <c r="H143" s="3">
        <f t="shared" si="72"/>
        <v>25</v>
      </c>
      <c r="I143" s="3">
        <f t="shared" si="72"/>
        <v>12.5</v>
      </c>
      <c r="J143" s="3">
        <f t="shared" si="72"/>
        <v>350</v>
      </c>
      <c r="K143" s="3">
        <f t="shared" si="72"/>
        <v>688</v>
      </c>
      <c r="M143" s="10" t="s">
        <v>0</v>
      </c>
    </row>
    <row r="144" spans="1:13" ht="15" hidden="1" customHeight="1" outlineLevel="1" x14ac:dyDescent="0.2">
      <c r="B144" s="10" t="s">
        <v>279</v>
      </c>
      <c r="C144" s="11" t="s">
        <v>280</v>
      </c>
      <c r="E144" s="26">
        <f t="shared" ref="E144:K144" si="73">E115/12*E121^3+E142*(E143-E161)^2</f>
        <v>0</v>
      </c>
      <c r="F144" s="26">
        <f t="shared" si="73"/>
        <v>31257916.666666668</v>
      </c>
      <c r="G144" s="26">
        <f t="shared" si="73"/>
        <v>325186666.66666669</v>
      </c>
      <c r="H144" s="26">
        <f t="shared" si="73"/>
        <v>0</v>
      </c>
      <c r="I144" s="26">
        <f t="shared" si="73"/>
        <v>0</v>
      </c>
      <c r="J144" s="26">
        <f t="shared" si="73"/>
        <v>369075208.33333337</v>
      </c>
      <c r="K144" s="26">
        <f t="shared" si="73"/>
        <v>78732441.666666672</v>
      </c>
      <c r="M144" s="10" t="s">
        <v>306</v>
      </c>
    </row>
    <row r="145" spans="1:13" ht="15" hidden="1" customHeight="1" outlineLevel="1" x14ac:dyDescent="0.2">
      <c r="B145" s="10" t="s">
        <v>281</v>
      </c>
      <c r="C145" s="11" t="s">
        <v>282</v>
      </c>
      <c r="E145" s="3">
        <f t="shared" ref="E145:K145" si="74">E116*E122</f>
        <v>0</v>
      </c>
      <c r="F145" s="3">
        <f t="shared" si="74"/>
        <v>7600</v>
      </c>
      <c r="G145" s="3">
        <f t="shared" si="74"/>
        <v>306.25</v>
      </c>
      <c r="H145" s="3">
        <f t="shared" si="74"/>
        <v>0</v>
      </c>
      <c r="I145" s="3">
        <f t="shared" si="74"/>
        <v>0</v>
      </c>
      <c r="J145" s="3">
        <f t="shared" si="74"/>
        <v>306.25</v>
      </c>
      <c r="K145" s="3">
        <f t="shared" si="74"/>
        <v>2056.25</v>
      </c>
      <c r="M145" s="10" t="s">
        <v>213</v>
      </c>
    </row>
    <row r="146" spans="1:13" ht="15" hidden="1" customHeight="1" outlineLevel="1" x14ac:dyDescent="0.2">
      <c r="B146" s="10" t="s">
        <v>283</v>
      </c>
      <c r="C146" s="11" t="s">
        <v>284</v>
      </c>
      <c r="E146" s="3">
        <f t="shared" ref="E146:K146" si="75">E35+E32-E120-E121-E122/2</f>
        <v>25</v>
      </c>
      <c r="F146" s="3">
        <f t="shared" si="75"/>
        <v>350</v>
      </c>
      <c r="G146" s="3">
        <f t="shared" si="75"/>
        <v>42.5</v>
      </c>
      <c r="H146" s="3">
        <f t="shared" si="75"/>
        <v>25</v>
      </c>
      <c r="I146" s="3">
        <f t="shared" si="75"/>
        <v>12.5</v>
      </c>
      <c r="J146" s="3">
        <f t="shared" si="75"/>
        <v>30</v>
      </c>
      <c r="K146" s="3">
        <f t="shared" si="75"/>
        <v>500</v>
      </c>
      <c r="M146" s="10" t="s">
        <v>0</v>
      </c>
    </row>
    <row r="147" spans="1:13" ht="15" hidden="1" customHeight="1" outlineLevel="1" x14ac:dyDescent="0.2">
      <c r="B147" s="10" t="s">
        <v>285</v>
      </c>
      <c r="C147" s="11" t="s">
        <v>286</v>
      </c>
      <c r="E147" s="26">
        <f t="shared" ref="E147:K147" si="76">E116/12*E122^3+E145*(E146-E161)^2</f>
        <v>0</v>
      </c>
      <c r="F147" s="26">
        <f t="shared" si="76"/>
        <v>91453333.333333343</v>
      </c>
      <c r="G147" s="26">
        <f t="shared" si="76"/>
        <v>28989114.583333332</v>
      </c>
      <c r="H147" s="26">
        <f t="shared" si="76"/>
        <v>0</v>
      </c>
      <c r="I147" s="26">
        <f t="shared" si="76"/>
        <v>0</v>
      </c>
      <c r="J147" s="26">
        <f t="shared" si="76"/>
        <v>31391263.020833332</v>
      </c>
      <c r="K147" s="26">
        <f t="shared" si="76"/>
        <v>6056341.666666667</v>
      </c>
      <c r="M147" s="10" t="s">
        <v>306</v>
      </c>
    </row>
    <row r="148" spans="1:13" ht="15" hidden="1" customHeight="1" outlineLevel="1" x14ac:dyDescent="0.2">
      <c r="B148" s="10" t="s">
        <v>287</v>
      </c>
      <c r="C148" s="11" t="s">
        <v>288</v>
      </c>
      <c r="E148" s="3">
        <f t="shared" ref="E148:K148" si="77">E117*E123</f>
        <v>0</v>
      </c>
      <c r="F148" s="3">
        <f t="shared" si="77"/>
        <v>612.5</v>
      </c>
      <c r="G148" s="3">
        <f t="shared" si="77"/>
        <v>0</v>
      </c>
      <c r="H148" s="3">
        <f t="shared" si="77"/>
        <v>0</v>
      </c>
      <c r="I148" s="3">
        <f t="shared" si="77"/>
        <v>0</v>
      </c>
      <c r="J148" s="3">
        <f t="shared" si="77"/>
        <v>0</v>
      </c>
      <c r="K148" s="3">
        <f t="shared" si="77"/>
        <v>2056.25</v>
      </c>
      <c r="M148" s="10" t="s">
        <v>213</v>
      </c>
    </row>
    <row r="149" spans="1:13" ht="15" hidden="1" customHeight="1" outlineLevel="1" x14ac:dyDescent="0.2">
      <c r="B149" s="10" t="s">
        <v>289</v>
      </c>
      <c r="C149" s="11" t="s">
        <v>290</v>
      </c>
      <c r="E149" s="3">
        <f t="shared" ref="E149:K149" si="78">E35+E32-E120-E121-E122-E123/2</f>
        <v>25</v>
      </c>
      <c r="F149" s="3">
        <f t="shared" si="78"/>
        <v>125</v>
      </c>
      <c r="G149" s="3">
        <f t="shared" si="78"/>
        <v>25</v>
      </c>
      <c r="H149" s="3">
        <f t="shared" si="78"/>
        <v>25</v>
      </c>
      <c r="I149" s="3">
        <f t="shared" si="78"/>
        <v>12.5</v>
      </c>
      <c r="J149" s="3">
        <f t="shared" si="78"/>
        <v>12.5</v>
      </c>
      <c r="K149" s="3">
        <f t="shared" si="78"/>
        <v>312</v>
      </c>
      <c r="M149" s="10" t="s">
        <v>0</v>
      </c>
    </row>
    <row r="150" spans="1:13" ht="15" hidden="1" customHeight="1" outlineLevel="1" x14ac:dyDescent="0.2">
      <c r="B150" s="10" t="s">
        <v>291</v>
      </c>
      <c r="C150" s="11" t="s">
        <v>292</v>
      </c>
      <c r="E150" s="26">
        <f t="shared" ref="E150:K150" si="79">E117/12*E123^3+E148*(E149-E161)^2</f>
        <v>0</v>
      </c>
      <c r="F150" s="26">
        <f t="shared" si="79"/>
        <v>31257916.666666668</v>
      </c>
      <c r="G150" s="26">
        <f t="shared" si="79"/>
        <v>0</v>
      </c>
      <c r="H150" s="26">
        <f t="shared" si="79"/>
        <v>0</v>
      </c>
      <c r="I150" s="26">
        <f t="shared" si="79"/>
        <v>0</v>
      </c>
      <c r="J150" s="26">
        <f t="shared" si="79"/>
        <v>0</v>
      </c>
      <c r="K150" s="26">
        <f t="shared" si="79"/>
        <v>78732441.666666672</v>
      </c>
      <c r="M150" s="10" t="s">
        <v>306</v>
      </c>
    </row>
    <row r="151" spans="1:13" ht="15" hidden="1" customHeight="1" outlineLevel="1" x14ac:dyDescent="0.2">
      <c r="B151" s="10" t="s">
        <v>293</v>
      </c>
      <c r="C151" s="11" t="s">
        <v>294</v>
      </c>
      <c r="E151" s="3">
        <f t="shared" ref="E151:K151" si="80">E118*E124</f>
        <v>0</v>
      </c>
      <c r="F151" s="3">
        <f t="shared" si="80"/>
        <v>1300</v>
      </c>
      <c r="G151" s="3">
        <f t="shared" si="80"/>
        <v>0</v>
      </c>
      <c r="H151" s="3">
        <f t="shared" si="80"/>
        <v>0</v>
      </c>
      <c r="I151" s="3">
        <f t="shared" si="80"/>
        <v>0</v>
      </c>
      <c r="J151" s="3">
        <f t="shared" si="80"/>
        <v>0</v>
      </c>
      <c r="K151" s="3">
        <f t="shared" si="80"/>
        <v>2056.25</v>
      </c>
      <c r="M151" s="10" t="s">
        <v>213</v>
      </c>
    </row>
    <row r="152" spans="1:13" ht="15" hidden="1" customHeight="1" outlineLevel="1" x14ac:dyDescent="0.2">
      <c r="B152" s="10" t="s">
        <v>295</v>
      </c>
      <c r="C152" s="11" t="s">
        <v>296</v>
      </c>
      <c r="E152" s="3">
        <f t="shared" ref="E152:K152" si="81">E35+E32-E120-E121-E122-E123-E124/2</f>
        <v>25</v>
      </c>
      <c r="F152" s="3">
        <f t="shared" si="81"/>
        <v>57.5</v>
      </c>
      <c r="G152" s="3">
        <f t="shared" si="81"/>
        <v>25</v>
      </c>
      <c r="H152" s="3">
        <f t="shared" si="81"/>
        <v>25</v>
      </c>
      <c r="I152" s="3">
        <f t="shared" si="81"/>
        <v>12.5</v>
      </c>
      <c r="J152" s="3">
        <f t="shared" si="81"/>
        <v>12.5</v>
      </c>
      <c r="K152" s="3">
        <f t="shared" si="81"/>
        <v>124</v>
      </c>
      <c r="M152" s="10" t="s">
        <v>0</v>
      </c>
    </row>
    <row r="153" spans="1:13" ht="15" hidden="1" customHeight="1" outlineLevel="1" x14ac:dyDescent="0.2">
      <c r="B153" s="10" t="s">
        <v>297</v>
      </c>
      <c r="C153" s="11" t="s">
        <v>298</v>
      </c>
      <c r="E153" s="26">
        <f t="shared" ref="E153:K153" si="82">E118/12*E124^3+E151*(E152-E161)^2</f>
        <v>0</v>
      </c>
      <c r="F153" s="26">
        <f t="shared" si="82"/>
        <v>111680833.33333333</v>
      </c>
      <c r="G153" s="26">
        <f t="shared" si="82"/>
        <v>0</v>
      </c>
      <c r="H153" s="26">
        <f t="shared" si="82"/>
        <v>0</v>
      </c>
      <c r="I153" s="26">
        <f t="shared" si="82"/>
        <v>0</v>
      </c>
      <c r="J153" s="26">
        <f t="shared" si="82"/>
        <v>0</v>
      </c>
      <c r="K153" s="26">
        <f t="shared" si="82"/>
        <v>296760741.66666669</v>
      </c>
      <c r="M153" s="10" t="s">
        <v>306</v>
      </c>
    </row>
    <row r="154" spans="1:13" ht="15" hidden="1" customHeight="1" outlineLevel="1" x14ac:dyDescent="0.2">
      <c r="B154" s="10" t="s">
        <v>320</v>
      </c>
      <c r="C154" s="11" t="s">
        <v>323</v>
      </c>
      <c r="E154" s="3">
        <f t="shared" ref="E154:K154" si="83">E119*E125</f>
        <v>0</v>
      </c>
      <c r="F154" s="3">
        <f t="shared" si="83"/>
        <v>0</v>
      </c>
      <c r="G154" s="3">
        <f t="shared" si="83"/>
        <v>0</v>
      </c>
      <c r="H154" s="3">
        <f t="shared" si="83"/>
        <v>0</v>
      </c>
      <c r="I154" s="3">
        <f t="shared" si="83"/>
        <v>0</v>
      </c>
      <c r="J154" s="3">
        <f t="shared" si="83"/>
        <v>0</v>
      </c>
      <c r="K154" s="3">
        <f t="shared" si="83"/>
        <v>0</v>
      </c>
      <c r="M154" s="10" t="s">
        <v>213</v>
      </c>
    </row>
    <row r="155" spans="1:13" ht="15" hidden="1" customHeight="1" outlineLevel="1" x14ac:dyDescent="0.2">
      <c r="B155" s="10" t="s">
        <v>321</v>
      </c>
      <c r="C155" s="11" t="s">
        <v>324</v>
      </c>
      <c r="E155" s="3">
        <f t="shared" ref="E155:K155" si="84">E35+E32-E120-E121-E122-E123-E124-E125/2</f>
        <v>25</v>
      </c>
      <c r="F155" s="3">
        <f t="shared" si="84"/>
        <v>25</v>
      </c>
      <c r="G155" s="3">
        <f t="shared" si="84"/>
        <v>25</v>
      </c>
      <c r="H155" s="3">
        <f t="shared" si="84"/>
        <v>25</v>
      </c>
      <c r="I155" s="3">
        <f t="shared" si="84"/>
        <v>12.5</v>
      </c>
      <c r="J155" s="3">
        <f t="shared" si="84"/>
        <v>12.5</v>
      </c>
      <c r="K155" s="3">
        <f t="shared" si="84"/>
        <v>30</v>
      </c>
      <c r="M155" s="10" t="s">
        <v>0</v>
      </c>
    </row>
    <row r="156" spans="1:13" ht="15" hidden="1" customHeight="1" outlineLevel="1" x14ac:dyDescent="0.2">
      <c r="B156" s="10" t="s">
        <v>322</v>
      </c>
      <c r="C156" s="11" t="s">
        <v>325</v>
      </c>
      <c r="E156" s="26">
        <f t="shared" ref="E156:K156" si="85">E119/12*E125^3+E154*(E155-E161)^2</f>
        <v>0</v>
      </c>
      <c r="F156" s="26">
        <f t="shared" si="85"/>
        <v>0</v>
      </c>
      <c r="G156" s="26">
        <f t="shared" si="85"/>
        <v>0</v>
      </c>
      <c r="H156" s="26">
        <f t="shared" si="85"/>
        <v>0</v>
      </c>
      <c r="I156" s="26">
        <f t="shared" si="85"/>
        <v>0</v>
      </c>
      <c r="J156" s="26">
        <f t="shared" si="85"/>
        <v>0</v>
      </c>
      <c r="K156" s="26">
        <f t="shared" si="85"/>
        <v>0</v>
      </c>
      <c r="M156" s="10" t="s">
        <v>306</v>
      </c>
    </row>
    <row r="157" spans="1:13" ht="15" hidden="1" customHeight="1" outlineLevel="1" x14ac:dyDescent="0.2">
      <c r="C157" s="11"/>
      <c r="E157" s="26"/>
      <c r="F157" s="26"/>
      <c r="G157" s="26"/>
      <c r="H157" s="26"/>
      <c r="I157" s="26"/>
      <c r="J157" s="26"/>
      <c r="K157" s="26"/>
    </row>
    <row r="158" spans="1:13" ht="15" hidden="1" customHeight="1" outlineLevel="1" x14ac:dyDescent="0.2">
      <c r="A158" s="17" t="s">
        <v>26</v>
      </c>
      <c r="C158" s="18"/>
    </row>
    <row r="159" spans="1:13" ht="15" hidden="1" customHeight="1" outlineLevel="1" x14ac:dyDescent="0.2">
      <c r="B159" s="10" t="s">
        <v>69</v>
      </c>
      <c r="C159" s="11" t="s">
        <v>68</v>
      </c>
      <c r="E159" s="3">
        <f t="shared" ref="E159:K159" si="86">E131+E128+E134</f>
        <v>23000</v>
      </c>
      <c r="F159" s="3">
        <f t="shared" si="86"/>
        <v>21425</v>
      </c>
      <c r="G159" s="3">
        <f t="shared" si="86"/>
        <v>16587.5</v>
      </c>
      <c r="H159" s="3">
        <f t="shared" si="86"/>
        <v>15200</v>
      </c>
      <c r="I159" s="3">
        <f t="shared" si="86"/>
        <v>18500</v>
      </c>
      <c r="J159" s="3">
        <f t="shared" si="86"/>
        <v>14900</v>
      </c>
      <c r="K159" s="3">
        <f t="shared" si="86"/>
        <v>20781.25</v>
      </c>
      <c r="M159" s="10" t="s">
        <v>213</v>
      </c>
    </row>
    <row r="160" spans="1:13" ht="15" hidden="1" customHeight="1" outlineLevel="1" x14ac:dyDescent="0.2">
      <c r="B160" s="10" t="s">
        <v>71</v>
      </c>
      <c r="C160" s="11" t="s">
        <v>70</v>
      </c>
      <c r="E160" s="26">
        <f t="shared" ref="E160:K160" si="87">E131*E132+E128*E129+E134*E135</f>
        <v>8050000</v>
      </c>
      <c r="F160" s="26">
        <f t="shared" si="87"/>
        <v>7498750</v>
      </c>
      <c r="G160" s="26">
        <f t="shared" si="87"/>
        <v>5805625</v>
      </c>
      <c r="H160" s="26">
        <f t="shared" si="87"/>
        <v>5320000</v>
      </c>
      <c r="I160" s="26">
        <f t="shared" si="87"/>
        <v>6475000</v>
      </c>
      <c r="J160" s="26">
        <f t="shared" si="87"/>
        <v>5215000</v>
      </c>
      <c r="K160" s="26">
        <f t="shared" si="87"/>
        <v>10390625</v>
      </c>
      <c r="M160" s="10" t="s">
        <v>214</v>
      </c>
    </row>
    <row r="161" spans="1:14" ht="15" hidden="1" customHeight="1" outlineLevel="1" x14ac:dyDescent="0.2">
      <c r="B161" s="10" t="s">
        <v>60</v>
      </c>
      <c r="C161" s="11" t="s">
        <v>108</v>
      </c>
      <c r="E161" s="3">
        <f t="shared" ref="E161:K161" si="88">E160/E159</f>
        <v>350</v>
      </c>
      <c r="F161" s="3">
        <f t="shared" si="88"/>
        <v>350</v>
      </c>
      <c r="G161" s="3">
        <f t="shared" si="88"/>
        <v>350</v>
      </c>
      <c r="H161" s="3">
        <f t="shared" si="88"/>
        <v>350</v>
      </c>
      <c r="I161" s="3">
        <f t="shared" si="88"/>
        <v>350</v>
      </c>
      <c r="J161" s="3">
        <f t="shared" si="88"/>
        <v>350</v>
      </c>
      <c r="K161" s="3">
        <f t="shared" si="88"/>
        <v>500</v>
      </c>
      <c r="M161" s="10" t="s">
        <v>0</v>
      </c>
    </row>
    <row r="162" spans="1:14" ht="15" hidden="1" customHeight="1" outlineLevel="1" x14ac:dyDescent="0.2">
      <c r="B162" s="10" t="s">
        <v>73</v>
      </c>
      <c r="C162" s="11" t="s">
        <v>24</v>
      </c>
      <c r="E162" s="3">
        <f t="shared" ref="E162:K162" si="89">E29-E161</f>
        <v>350</v>
      </c>
      <c r="F162" s="3">
        <f t="shared" si="89"/>
        <v>350</v>
      </c>
      <c r="G162" s="3">
        <f t="shared" si="89"/>
        <v>350</v>
      </c>
      <c r="H162" s="3">
        <f t="shared" si="89"/>
        <v>350</v>
      </c>
      <c r="I162" s="3">
        <f t="shared" si="89"/>
        <v>350</v>
      </c>
      <c r="J162" s="3">
        <f t="shared" si="89"/>
        <v>350</v>
      </c>
      <c r="K162" s="3">
        <f t="shared" si="89"/>
        <v>500</v>
      </c>
      <c r="M162" s="10" t="s">
        <v>0</v>
      </c>
    </row>
    <row r="163" spans="1:14" ht="15" hidden="1" customHeight="1" outlineLevel="1" x14ac:dyDescent="0.2">
      <c r="B163" s="10" t="s">
        <v>72</v>
      </c>
      <c r="C163" s="11" t="s">
        <v>25</v>
      </c>
      <c r="E163" s="3">
        <f t="shared" ref="E163:K163" si="90">E161</f>
        <v>350</v>
      </c>
      <c r="F163" s="3">
        <f t="shared" si="90"/>
        <v>350</v>
      </c>
      <c r="G163" s="3">
        <f t="shared" si="90"/>
        <v>350</v>
      </c>
      <c r="H163" s="3">
        <f t="shared" si="90"/>
        <v>350</v>
      </c>
      <c r="I163" s="3">
        <f t="shared" si="90"/>
        <v>350</v>
      </c>
      <c r="J163" s="3">
        <f t="shared" si="90"/>
        <v>350</v>
      </c>
      <c r="K163" s="3">
        <f t="shared" si="90"/>
        <v>500</v>
      </c>
      <c r="M163" s="10" t="s">
        <v>0</v>
      </c>
    </row>
    <row r="164" spans="1:14" ht="15" hidden="1" customHeight="1" outlineLevel="1" x14ac:dyDescent="0.2">
      <c r="B164" s="10" t="s">
        <v>31</v>
      </c>
      <c r="C164" s="11" t="s">
        <v>74</v>
      </c>
      <c r="E164" s="26">
        <f t="shared" ref="E164:K164" si="91">E133+E130+E136</f>
        <v>1597291666.6666665</v>
      </c>
      <c r="F164" s="26">
        <f t="shared" si="91"/>
        <v>1516914166.6666665</v>
      </c>
      <c r="G164" s="26">
        <f t="shared" si="91"/>
        <v>881548354.28873694</v>
      </c>
      <c r="H164" s="26">
        <f t="shared" si="91"/>
        <v>1322666666.6666665</v>
      </c>
      <c r="I164" s="26">
        <f t="shared" si="91"/>
        <v>1103463541.6666665</v>
      </c>
      <c r="J164" s="26">
        <f t="shared" si="91"/>
        <v>690347072.93192542</v>
      </c>
      <c r="K164" s="26">
        <f t="shared" si="91"/>
        <v>3227055940.7552085</v>
      </c>
      <c r="M164" s="10" t="s">
        <v>306</v>
      </c>
    </row>
    <row r="165" spans="1:14" ht="15" hidden="1" customHeight="1" outlineLevel="1" x14ac:dyDescent="0.2">
      <c r="B165" s="10" t="s">
        <v>75</v>
      </c>
      <c r="C165" s="11" t="s">
        <v>11</v>
      </c>
      <c r="E165" s="26">
        <f t="shared" ref="E165:K165" si="92">E164/E163</f>
        <v>4563690.4761904757</v>
      </c>
      <c r="F165" s="26">
        <f t="shared" si="92"/>
        <v>4334040.4761904757</v>
      </c>
      <c r="G165" s="26">
        <f t="shared" si="92"/>
        <v>2518709.5836821054</v>
      </c>
      <c r="H165" s="26">
        <f t="shared" si="92"/>
        <v>3779047.6190476185</v>
      </c>
      <c r="I165" s="26">
        <f t="shared" si="92"/>
        <v>3152752.9761904757</v>
      </c>
      <c r="J165" s="26">
        <f t="shared" si="92"/>
        <v>1972420.2083769299</v>
      </c>
      <c r="K165" s="26">
        <f t="shared" si="92"/>
        <v>6454111.881510417</v>
      </c>
      <c r="M165" s="10" t="s">
        <v>214</v>
      </c>
    </row>
    <row r="166" spans="1:14" ht="15" hidden="1" customHeight="1" outlineLevel="1" x14ac:dyDescent="0.2">
      <c r="B166" s="10" t="s">
        <v>76</v>
      </c>
      <c r="C166" s="11" t="s">
        <v>9</v>
      </c>
      <c r="E166" s="26">
        <f t="shared" ref="E166:K166" si="93">E164/E162</f>
        <v>4563690.4761904757</v>
      </c>
      <c r="F166" s="26">
        <f t="shared" si="93"/>
        <v>4334040.4761904757</v>
      </c>
      <c r="G166" s="26">
        <f t="shared" si="93"/>
        <v>2518709.5836821054</v>
      </c>
      <c r="H166" s="26">
        <f t="shared" si="93"/>
        <v>3779047.6190476185</v>
      </c>
      <c r="I166" s="26">
        <f t="shared" si="93"/>
        <v>3152752.9761904757</v>
      </c>
      <c r="J166" s="26">
        <f t="shared" si="93"/>
        <v>1972420.2083769299</v>
      </c>
      <c r="K166" s="26">
        <f t="shared" si="93"/>
        <v>6454111.881510417</v>
      </c>
      <c r="M166" s="10" t="s">
        <v>214</v>
      </c>
    </row>
    <row r="167" spans="1:14" ht="15" hidden="1" customHeight="1" outlineLevel="1" x14ac:dyDescent="0.2">
      <c r="B167" s="10" t="s">
        <v>269</v>
      </c>
      <c r="C167" s="11" t="s">
        <v>270</v>
      </c>
      <c r="E167" s="23">
        <f t="shared" ref="E167:K167" si="94">IF(E131+E154+E151+E148+E145+E142&lt;E139+E128,1,
IF(E131+E154+E151+E148+E145&lt;E142+E139+E128,2,
IF(E131+E154+E151+E148&lt;E145+E142+E139+E128,3,
IF(E131+E154+E151&lt;E148+E145+E142+E139+E128,4,
IF(E131+E154&lt;E151+E148+E145+E142+E139+E128,5,6)))))</f>
        <v>1</v>
      </c>
      <c r="F167" s="23">
        <f t="shared" si="94"/>
        <v>3</v>
      </c>
      <c r="G167" s="23">
        <f t="shared" si="94"/>
        <v>2</v>
      </c>
      <c r="H167" s="23">
        <f t="shared" si="94"/>
        <v>1</v>
      </c>
      <c r="I167" s="23">
        <f t="shared" si="94"/>
        <v>1</v>
      </c>
      <c r="J167" s="23">
        <f t="shared" si="94"/>
        <v>2</v>
      </c>
      <c r="K167" s="23">
        <f t="shared" si="94"/>
        <v>3</v>
      </c>
    </row>
    <row r="168" spans="1:14" ht="15" hidden="1" customHeight="1" outlineLevel="1" x14ac:dyDescent="0.2">
      <c r="B168" s="10" t="s">
        <v>62</v>
      </c>
      <c r="C168" s="11" t="s">
        <v>308</v>
      </c>
      <c r="E168" s="23">
        <f t="shared" ref="E168:K168" si="95">IF(E167=1,(E128-E131-E154-E151-E148-E145-E142)/2/E114+E140,
IF(E167=2,(E128-E131-E154-E151-E148-E145+E139)/2/E115+E143,
IF(E167=3,(E128-E131-E154-E151-E148+E142+E139)/2/E116+E146,
IF(E167=4,(E128-E131-E154-E151+E145+E142+E139)/2/E117+E149,
IF(E167=5,(E128-E131-E154+E148+E145+E142+E139)/2/E118+E152,
IF(E167=6,(E128-E131+E151+E148+E145+E142+E139)/2/E119+E155,))))))</f>
        <v>350</v>
      </c>
      <c r="F168" s="23">
        <f t="shared" si="95"/>
        <v>350</v>
      </c>
      <c r="G168" s="23">
        <f t="shared" si="95"/>
        <v>350</v>
      </c>
      <c r="H168" s="23">
        <f t="shared" si="95"/>
        <v>350</v>
      </c>
      <c r="I168" s="23">
        <f t="shared" si="95"/>
        <v>350</v>
      </c>
      <c r="J168" s="23">
        <f t="shared" si="95"/>
        <v>350</v>
      </c>
      <c r="K168" s="23">
        <f t="shared" si="95"/>
        <v>500</v>
      </c>
      <c r="M168" s="10" t="s">
        <v>0</v>
      </c>
      <c r="N168" s="10" t="s">
        <v>153</v>
      </c>
    </row>
    <row r="169" spans="1:14" ht="15" hidden="1" customHeight="1" outlineLevel="1" x14ac:dyDescent="0.2">
      <c r="B169" s="10" t="s">
        <v>61</v>
      </c>
      <c r="C169" s="11" t="s">
        <v>78</v>
      </c>
      <c r="E169" s="34">
        <f t="shared" ref="E169:K169" si="96">IF(E167=1,E131*(E168-E132)+E128*(E129-E168)+E114*(E140+E120/2-E168)^2/2+E114*(E168-E140+E120/2)^2/2+E142*(E168-E143)+E145*(E168-E146)+E148*(E168-E149)+E151*(E168-E152)+E154*(E168-E155),
IF(E167=2,E131*(E168-E132)+E128*(E129-E168)+E115*(E143+E121/2-E168)^2/2+E115*(E168-E143+E121/2)^2/2+E139*(E140-E168)+E145*(E168-E146)+E148*(E168-E149)+E151*(E168-E152)+E154*(E168-E155),
IF(E167=3,E131*(E168-E132)+E128*(E129-E168)+E116*(E146+E122/2-E168)^2/2+E116*(E168-E146+E122/2)^2/2+E139*(E140-E168)+E142*(E143-E168)+E148*(E168-E149)+E151*(E168-E152)+E154*(E168-E155),
IF(E167=4,E131*(E168-E132)+E128*(E129-E168)+E117*(E149+E123/2-E168)^2/2+E117*(E168-E149+E123/2)^2/2+E139*(E140-E168)+E142*(E143-E168)+E145*(E146-E168)+E151*(E168-E152)+E154*(E168-E155),
IF(E167=5,E131*(E168-E132)+E128*(E129-E168)+E118*(E152+E124/2-E168)^2/2+E118*(E168-E152+E124/2)^2/2+E139*(E140-E168)+E142*(E143-E168)+E145*(E146-E168)+E148*(E149-E168)+E154*(E168-E155),
IF(E167=6,E131*(E168-E132)+E128*(E129-E168)+E119*(E155+E125/2-E168)^2/2+E119*(E168-E155+E125/2)^2/2+E139*(E140-E168)+E142*(E143-E168)+E145*(E146-E168)+E148*(E149-E168)+E151*(E168-E152)))))))</f>
        <v>5487500</v>
      </c>
      <c r="F169" s="34">
        <f t="shared" si="96"/>
        <v>5133125</v>
      </c>
      <c r="G169" s="34">
        <f t="shared" si="96"/>
        <v>3346906.25</v>
      </c>
      <c r="H169" s="34">
        <f t="shared" si="96"/>
        <v>4220000</v>
      </c>
      <c r="I169" s="34">
        <f t="shared" si="96"/>
        <v>3996875</v>
      </c>
      <c r="J169" s="34">
        <f t="shared" si="96"/>
        <v>2778078.125</v>
      </c>
      <c r="K169" s="34">
        <f t="shared" si="96"/>
        <v>7508593.75</v>
      </c>
      <c r="M169" s="10" t="s">
        <v>214</v>
      </c>
      <c r="N169" s="10" t="s">
        <v>153</v>
      </c>
    </row>
    <row r="170" spans="1:14" ht="15" customHeight="1" collapsed="1" x14ac:dyDescent="0.2">
      <c r="A170" s="15"/>
      <c r="C170" s="11"/>
    </row>
    <row r="171" spans="1:14" ht="15" customHeight="1" x14ac:dyDescent="0.2">
      <c r="A171" s="15"/>
      <c r="C171" s="11"/>
    </row>
    <row r="172" spans="1:14" ht="15" customHeight="1" x14ac:dyDescent="0.2">
      <c r="A172" s="15" t="s">
        <v>360</v>
      </c>
      <c r="C172" s="11"/>
      <c r="N172" s="10" t="s">
        <v>379</v>
      </c>
    </row>
    <row r="173" spans="1:14" ht="15" hidden="1" customHeight="1" outlineLevel="1" x14ac:dyDescent="0.2">
      <c r="C173" s="11"/>
    </row>
    <row r="174" spans="1:14" ht="15" hidden="1" customHeight="1" outlineLevel="1" x14ac:dyDescent="0.2">
      <c r="A174" s="17" t="s">
        <v>329</v>
      </c>
      <c r="C174" s="11"/>
      <c r="N174" s="10" t="s">
        <v>379</v>
      </c>
    </row>
    <row r="175" spans="1:14" ht="15" hidden="1" customHeight="1" outlineLevel="1" x14ac:dyDescent="0.2">
      <c r="B175" s="10" t="s">
        <v>246</v>
      </c>
      <c r="C175" s="11" t="s">
        <v>266</v>
      </c>
      <c r="E175" s="41">
        <v>1</v>
      </c>
      <c r="F175" s="41">
        <v>1</v>
      </c>
      <c r="G175" s="41">
        <f>MIN(1,(G24/G22)*G75/(G75-G30))</f>
        <v>0.47115384615384615</v>
      </c>
      <c r="H175" s="41">
        <v>1</v>
      </c>
      <c r="I175" s="41">
        <v>1</v>
      </c>
      <c r="J175" s="41">
        <f>MIN(1,(J24/J22)*J75/(J75-J30))</f>
        <v>0.45370370370370372</v>
      </c>
      <c r="K175" s="41">
        <f>MIN(1,(K24/K22)*K75/(K75-K30/2))</f>
        <v>0.45103092783505155</v>
      </c>
    </row>
    <row r="176" spans="1:14" ht="15" hidden="1" customHeight="1" outlineLevel="1" x14ac:dyDescent="0.2">
      <c r="B176" s="10" t="s">
        <v>247</v>
      </c>
      <c r="C176" s="11" t="s">
        <v>266</v>
      </c>
      <c r="E176" s="41">
        <v>1</v>
      </c>
      <c r="F176" s="41">
        <v>1</v>
      </c>
      <c r="G176" s="41">
        <f>MIN(1,(G24/G22)*G76/(G76-G32))</f>
        <v>0.47115384615384615</v>
      </c>
      <c r="H176" s="41">
        <v>1</v>
      </c>
      <c r="I176" s="41">
        <v>1</v>
      </c>
      <c r="J176" s="41">
        <f>MIN(1,(J24/J22)*J76/(J76-J32))</f>
        <v>0.45370370370370372</v>
      </c>
      <c r="K176" s="41">
        <f>MIN(1,(K24/K22)*K76/(K76-K32/2))</f>
        <v>0.45103092783505155</v>
      </c>
    </row>
    <row r="177" spans="1:14" ht="15" hidden="1" customHeight="1" outlineLevel="1" x14ac:dyDescent="0.2">
      <c r="B177" s="10" t="s">
        <v>248</v>
      </c>
      <c r="C177" s="11" t="s">
        <v>266</v>
      </c>
      <c r="E177" s="41">
        <v>1</v>
      </c>
      <c r="F177" s="41">
        <v>1</v>
      </c>
      <c r="G177" s="41">
        <f>MIN(1,(G24/G22)*G75/(G75-G30))</f>
        <v>0.47115384615384615</v>
      </c>
      <c r="H177" s="41">
        <v>1</v>
      </c>
      <c r="I177" s="41">
        <v>1</v>
      </c>
      <c r="J177" s="41">
        <f>MIN(1,(J24/J22)*J75/(J75-J30))</f>
        <v>0.45370370370370372</v>
      </c>
      <c r="K177" s="41">
        <f>MIN(1,(K24/K22)*IF(K32+9/10*K35=K76,100,IF(K32+9/10*K35&gt;K76,K75/(K32+9/10*K35-K76),K76/(K76-(K32+9/10*K35)))))</f>
        <v>0.58178191489361697</v>
      </c>
    </row>
    <row r="178" spans="1:14" ht="15" hidden="1" customHeight="1" outlineLevel="1" x14ac:dyDescent="0.2">
      <c r="B178" s="10" t="s">
        <v>249</v>
      </c>
      <c r="C178" s="11" t="s">
        <v>266</v>
      </c>
      <c r="E178" s="42">
        <v>0</v>
      </c>
      <c r="F178" s="41">
        <f>MIN(1,(F24/F22)*F75/(F75-F30-F45))</f>
        <v>0.68055555555555558</v>
      </c>
      <c r="G178" s="41">
        <v>1</v>
      </c>
      <c r="H178" s="42">
        <v>0</v>
      </c>
      <c r="I178" s="42">
        <v>0</v>
      </c>
      <c r="J178" s="41">
        <v>1</v>
      </c>
      <c r="K178" s="41">
        <f>MIN(1,(K24/K22)*IF(K32+7/10*K35=K76,100,IF(K32+7/10*K35&gt;K76,K75/(K32+7/10*K35-K76),K76/(K76-(K32+7/10*K35)))))</f>
        <v>1</v>
      </c>
    </row>
    <row r="179" spans="1:14" ht="15" hidden="1" customHeight="1" outlineLevel="1" x14ac:dyDescent="0.2">
      <c r="B179" s="10" t="s">
        <v>250</v>
      </c>
      <c r="C179" s="11" t="s">
        <v>266</v>
      </c>
      <c r="E179" s="42">
        <v>0</v>
      </c>
      <c r="F179" s="41">
        <v>1</v>
      </c>
      <c r="G179" s="41">
        <f>MIN(1,(G24/G22)*G76/(G76-G32))</f>
        <v>0.47115384615384615</v>
      </c>
      <c r="H179" s="42">
        <v>0</v>
      </c>
      <c r="I179" s="42">
        <v>0</v>
      </c>
      <c r="J179" s="41">
        <f>MIN(1,(J24/J22)*J76/(J76-J32))</f>
        <v>0.45370370370370372</v>
      </c>
      <c r="K179" s="41">
        <f>MIN(1,(K24/K22)*IF(K32+5/10*K35=K76,100,IF(K32+5/10*K35&gt;K76,K75/(K32+5/10*K35-K76),K76/(K76-(K32+5/10*K35)))))</f>
        <v>1</v>
      </c>
    </row>
    <row r="180" spans="1:14" ht="15" hidden="1" customHeight="1" outlineLevel="1" x14ac:dyDescent="0.2">
      <c r="B180" s="10" t="s">
        <v>251</v>
      </c>
      <c r="C180" s="11" t="s">
        <v>266</v>
      </c>
      <c r="E180" s="42">
        <v>0</v>
      </c>
      <c r="F180" s="41">
        <f>MIN(1,(F24/F22)*F76/(F76-F32-F45))</f>
        <v>0.68055555555555558</v>
      </c>
      <c r="G180" s="41">
        <v>0</v>
      </c>
      <c r="H180" s="42">
        <v>0</v>
      </c>
      <c r="I180" s="42">
        <v>0</v>
      </c>
      <c r="J180" s="41">
        <v>0</v>
      </c>
      <c r="K180" s="41">
        <f>MIN(1,(K24/K22)*IF(K32+3/10*K35=K76,100,IF(K32+3/10*K35&gt;K76,K75/(K32+3/10*K35-K76),K76/(K76-(K32+3/10*K35)))))</f>
        <v>1</v>
      </c>
    </row>
    <row r="181" spans="1:14" ht="15" hidden="1" customHeight="1" outlineLevel="1" x14ac:dyDescent="0.2">
      <c r="B181" s="10" t="s">
        <v>252</v>
      </c>
      <c r="C181" s="11" t="s">
        <v>266</v>
      </c>
      <c r="E181" s="42">
        <v>0</v>
      </c>
      <c r="F181" s="41">
        <v>1</v>
      </c>
      <c r="G181" s="41">
        <v>0</v>
      </c>
      <c r="H181" s="42">
        <v>0</v>
      </c>
      <c r="I181" s="42">
        <v>0</v>
      </c>
      <c r="J181" s="41">
        <v>0</v>
      </c>
      <c r="K181" s="41">
        <f>MIN(1,(K24/K22)*IF(K32+1/10*K35=K76,100,IF(K32+1/10*K35&gt;K76,K75/(K32+1/10*K35-K76),K76/(K76-(K32+1/10*K35)))))</f>
        <v>0.58178191489361697</v>
      </c>
    </row>
    <row r="182" spans="1:14" ht="15" hidden="1" customHeight="1" outlineLevel="1" x14ac:dyDescent="0.2">
      <c r="B182" s="10" t="s">
        <v>240</v>
      </c>
      <c r="C182" s="11" t="s">
        <v>264</v>
      </c>
      <c r="E182" s="43">
        <f t="shared" ref="E182:K186" si="97">E120</f>
        <v>650</v>
      </c>
      <c r="F182" s="43">
        <f t="shared" si="97"/>
        <v>65</v>
      </c>
      <c r="G182" s="43">
        <f t="shared" si="97"/>
        <v>35</v>
      </c>
      <c r="H182" s="43">
        <f t="shared" si="97"/>
        <v>650</v>
      </c>
      <c r="I182" s="43">
        <f t="shared" si="97"/>
        <v>675</v>
      </c>
      <c r="J182" s="43">
        <f t="shared" si="97"/>
        <v>35</v>
      </c>
      <c r="K182" s="43">
        <f t="shared" si="97"/>
        <v>188</v>
      </c>
      <c r="M182" s="10" t="s">
        <v>0</v>
      </c>
    </row>
    <row r="183" spans="1:14" ht="15" hidden="1" customHeight="1" outlineLevel="1" x14ac:dyDescent="0.2">
      <c r="B183" s="10" t="s">
        <v>241</v>
      </c>
      <c r="C183" s="11" t="s">
        <v>264</v>
      </c>
      <c r="E183" s="43">
        <f t="shared" si="97"/>
        <v>0</v>
      </c>
      <c r="F183" s="43">
        <f t="shared" si="97"/>
        <v>70</v>
      </c>
      <c r="G183" s="43">
        <f t="shared" si="97"/>
        <v>580</v>
      </c>
      <c r="H183" s="43">
        <f t="shared" si="97"/>
        <v>0</v>
      </c>
      <c r="I183" s="43">
        <f t="shared" si="97"/>
        <v>0</v>
      </c>
      <c r="J183" s="43">
        <f t="shared" si="97"/>
        <v>605</v>
      </c>
      <c r="K183" s="43">
        <f t="shared" si="97"/>
        <v>188</v>
      </c>
      <c r="M183" s="10" t="s">
        <v>0</v>
      </c>
    </row>
    <row r="184" spans="1:14" ht="15" hidden="1" customHeight="1" outlineLevel="1" x14ac:dyDescent="0.2">
      <c r="B184" s="10" t="s">
        <v>242</v>
      </c>
      <c r="C184" s="11" t="s">
        <v>264</v>
      </c>
      <c r="E184" s="43">
        <f t="shared" si="97"/>
        <v>0</v>
      </c>
      <c r="F184" s="43">
        <f t="shared" si="97"/>
        <v>380</v>
      </c>
      <c r="G184" s="43">
        <f t="shared" si="97"/>
        <v>35</v>
      </c>
      <c r="H184" s="43">
        <f t="shared" si="97"/>
        <v>0</v>
      </c>
      <c r="I184" s="43">
        <f t="shared" si="97"/>
        <v>0</v>
      </c>
      <c r="J184" s="43">
        <f t="shared" si="97"/>
        <v>35</v>
      </c>
      <c r="K184" s="43">
        <f t="shared" si="97"/>
        <v>188</v>
      </c>
      <c r="M184" s="10" t="s">
        <v>0</v>
      </c>
    </row>
    <row r="185" spans="1:14" ht="15" hidden="1" customHeight="1" outlineLevel="1" x14ac:dyDescent="0.2">
      <c r="B185" s="10" t="s">
        <v>243</v>
      </c>
      <c r="C185" s="11" t="s">
        <v>264</v>
      </c>
      <c r="E185" s="43">
        <f t="shared" si="97"/>
        <v>0</v>
      </c>
      <c r="F185" s="43">
        <f t="shared" si="97"/>
        <v>70</v>
      </c>
      <c r="G185" s="43">
        <f t="shared" si="97"/>
        <v>0</v>
      </c>
      <c r="H185" s="43">
        <f t="shared" si="97"/>
        <v>0</v>
      </c>
      <c r="I185" s="43">
        <f t="shared" si="97"/>
        <v>0</v>
      </c>
      <c r="J185" s="43">
        <f t="shared" si="97"/>
        <v>0</v>
      </c>
      <c r="K185" s="43">
        <f t="shared" si="97"/>
        <v>188</v>
      </c>
      <c r="M185" s="10" t="s">
        <v>0</v>
      </c>
    </row>
    <row r="186" spans="1:14" ht="15" hidden="1" customHeight="1" outlineLevel="1" x14ac:dyDescent="0.2">
      <c r="B186" s="10" t="s">
        <v>244</v>
      </c>
      <c r="C186" s="11" t="s">
        <v>264</v>
      </c>
      <c r="E186" s="43">
        <f t="shared" si="97"/>
        <v>0</v>
      </c>
      <c r="F186" s="43">
        <f t="shared" si="97"/>
        <v>65</v>
      </c>
      <c r="G186" s="43">
        <f t="shared" si="97"/>
        <v>0</v>
      </c>
      <c r="H186" s="43">
        <f t="shared" si="97"/>
        <v>0</v>
      </c>
      <c r="I186" s="43">
        <f t="shared" si="97"/>
        <v>0</v>
      </c>
      <c r="J186" s="43">
        <f t="shared" si="97"/>
        <v>0</v>
      </c>
      <c r="K186" s="43">
        <f t="shared" si="97"/>
        <v>188</v>
      </c>
      <c r="M186" s="10" t="s">
        <v>0</v>
      </c>
    </row>
    <row r="187" spans="1:14" ht="15" hidden="1" customHeight="1" outlineLevel="1" x14ac:dyDescent="0.2">
      <c r="C187" s="11"/>
    </row>
    <row r="188" spans="1:14" ht="15" hidden="1" customHeight="1" outlineLevel="1" x14ac:dyDescent="0.2">
      <c r="A188" s="17" t="s">
        <v>347</v>
      </c>
      <c r="C188" s="18"/>
      <c r="N188" s="10" t="s">
        <v>379</v>
      </c>
    </row>
    <row r="189" spans="1:14" ht="15" hidden="1" customHeight="1" outlineLevel="1" x14ac:dyDescent="0.2">
      <c r="B189" s="10" t="s">
        <v>246</v>
      </c>
      <c r="C189" s="11" t="s">
        <v>266</v>
      </c>
      <c r="E189" s="41">
        <f t="shared" ref="E189:K190" si="98">E175</f>
        <v>1</v>
      </c>
      <c r="F189" s="41">
        <f t="shared" si="98"/>
        <v>1</v>
      </c>
      <c r="G189" s="41">
        <f t="shared" si="98"/>
        <v>0.47115384615384615</v>
      </c>
      <c r="H189" s="41">
        <f t="shared" si="98"/>
        <v>1</v>
      </c>
      <c r="I189" s="41">
        <f t="shared" si="98"/>
        <v>1</v>
      </c>
      <c r="J189" s="41">
        <f t="shared" si="98"/>
        <v>0.45370370370370372</v>
      </c>
      <c r="K189" s="41">
        <f t="shared" si="98"/>
        <v>0.45103092783505155</v>
      </c>
    </row>
    <row r="190" spans="1:14" ht="15" hidden="1" customHeight="1" outlineLevel="1" x14ac:dyDescent="0.2">
      <c r="B190" s="10" t="s">
        <v>247</v>
      </c>
      <c r="C190" s="11" t="s">
        <v>266</v>
      </c>
      <c r="E190" s="41">
        <f t="shared" si="98"/>
        <v>1</v>
      </c>
      <c r="F190" s="41">
        <f t="shared" si="98"/>
        <v>1</v>
      </c>
      <c r="G190" s="41">
        <f t="shared" si="98"/>
        <v>0.47115384615384615</v>
      </c>
      <c r="H190" s="41">
        <f t="shared" si="98"/>
        <v>1</v>
      </c>
      <c r="I190" s="41">
        <f t="shared" si="98"/>
        <v>1</v>
      </c>
      <c r="J190" s="41">
        <f t="shared" si="98"/>
        <v>0.45370370370370372</v>
      </c>
      <c r="K190" s="41">
        <f t="shared" si="98"/>
        <v>0.45103092783505155</v>
      </c>
    </row>
    <row r="191" spans="1:14" ht="15" hidden="1" customHeight="1" outlineLevel="1" x14ac:dyDescent="0.2">
      <c r="B191" s="10" t="s">
        <v>248</v>
      </c>
      <c r="C191" s="11" t="s">
        <v>266</v>
      </c>
      <c r="E191" s="41">
        <f t="shared" ref="E191:E196" si="99">E287</f>
        <v>1</v>
      </c>
      <c r="F191" s="41">
        <f t="shared" ref="F191:F196" si="100">F315</f>
        <v>1</v>
      </c>
      <c r="G191" s="41">
        <f t="shared" ref="G191:G196" si="101">G301</f>
        <v>0.47115384615384615</v>
      </c>
      <c r="H191" s="41">
        <f t="shared" ref="H191:H196" si="102">H287</f>
        <v>0.83167760499097654</v>
      </c>
      <c r="I191" s="41">
        <f t="shared" ref="I191:I196" si="103">I287</f>
        <v>1</v>
      </c>
      <c r="J191" s="41">
        <f t="shared" ref="J191:J196" si="104">J301</f>
        <v>0.45370370370370372</v>
      </c>
      <c r="K191" s="41">
        <f t="shared" ref="K191" si="105">K315</f>
        <v>0.58178191489361697</v>
      </c>
    </row>
    <row r="192" spans="1:14" ht="15" hidden="1" customHeight="1" outlineLevel="1" x14ac:dyDescent="0.2">
      <c r="B192" s="10" t="s">
        <v>249</v>
      </c>
      <c r="C192" s="11" t="s">
        <v>266</v>
      </c>
      <c r="E192" s="41">
        <f t="shared" si="99"/>
        <v>1</v>
      </c>
      <c r="F192" s="41">
        <f t="shared" si="100"/>
        <v>1</v>
      </c>
      <c r="G192" s="41">
        <f t="shared" si="101"/>
        <v>0.47115384615384615</v>
      </c>
      <c r="H192" s="41">
        <f t="shared" si="102"/>
        <v>1</v>
      </c>
      <c r="I192" s="41">
        <f t="shared" si="103"/>
        <v>1</v>
      </c>
      <c r="J192" s="41">
        <f t="shared" si="104"/>
        <v>0.45370370370370372</v>
      </c>
      <c r="K192" s="41">
        <f t="shared" ref="K192" si="106">K316</f>
        <v>0.58178191489361697</v>
      </c>
    </row>
    <row r="193" spans="1:14" ht="15" hidden="1" customHeight="1" outlineLevel="1" x14ac:dyDescent="0.2">
      <c r="B193" s="10" t="s">
        <v>250</v>
      </c>
      <c r="C193" s="11" t="s">
        <v>266</v>
      </c>
      <c r="E193" s="41">
        <f t="shared" si="99"/>
        <v>0</v>
      </c>
      <c r="F193" s="41">
        <f t="shared" si="100"/>
        <v>0.68055555555555558</v>
      </c>
      <c r="G193" s="41">
        <f t="shared" si="101"/>
        <v>1</v>
      </c>
      <c r="H193" s="41">
        <f t="shared" si="102"/>
        <v>0</v>
      </c>
      <c r="I193" s="41">
        <f t="shared" si="103"/>
        <v>0</v>
      </c>
      <c r="J193" s="41">
        <f t="shared" si="104"/>
        <v>1</v>
      </c>
      <c r="K193" s="41">
        <f t="shared" ref="K193" si="107">K317</f>
        <v>1</v>
      </c>
    </row>
    <row r="194" spans="1:14" ht="15" hidden="1" customHeight="1" outlineLevel="1" x14ac:dyDescent="0.2">
      <c r="B194" s="10" t="s">
        <v>251</v>
      </c>
      <c r="C194" s="11" t="s">
        <v>266</v>
      </c>
      <c r="E194" s="41">
        <f t="shared" si="99"/>
        <v>0</v>
      </c>
      <c r="F194" s="41">
        <f t="shared" si="100"/>
        <v>1</v>
      </c>
      <c r="G194" s="41">
        <f t="shared" si="101"/>
        <v>0.47115384615384615</v>
      </c>
      <c r="H194" s="41">
        <f t="shared" si="102"/>
        <v>0</v>
      </c>
      <c r="I194" s="41">
        <f t="shared" si="103"/>
        <v>0</v>
      </c>
      <c r="J194" s="41">
        <f t="shared" si="104"/>
        <v>0.45370370370370372</v>
      </c>
      <c r="K194" s="41">
        <f t="shared" ref="K194" si="108">K318</f>
        <v>1</v>
      </c>
    </row>
    <row r="195" spans="1:14" ht="15" hidden="1" customHeight="1" outlineLevel="1" x14ac:dyDescent="0.2">
      <c r="B195" s="10" t="s">
        <v>252</v>
      </c>
      <c r="C195" s="11" t="s">
        <v>266</v>
      </c>
      <c r="E195" s="41">
        <f t="shared" si="99"/>
        <v>0</v>
      </c>
      <c r="F195" s="41">
        <f t="shared" si="100"/>
        <v>0.68055555555555558</v>
      </c>
      <c r="G195" s="41">
        <f t="shared" si="101"/>
        <v>0</v>
      </c>
      <c r="H195" s="41">
        <f t="shared" si="102"/>
        <v>0</v>
      </c>
      <c r="I195" s="41">
        <f t="shared" si="103"/>
        <v>0</v>
      </c>
      <c r="J195" s="41">
        <f t="shared" si="104"/>
        <v>0</v>
      </c>
      <c r="K195" s="41">
        <f t="shared" ref="K195" si="109">K319</f>
        <v>1</v>
      </c>
    </row>
    <row r="196" spans="1:14" ht="15" hidden="1" customHeight="1" outlineLevel="1" x14ac:dyDescent="0.2">
      <c r="B196" s="10" t="s">
        <v>318</v>
      </c>
      <c r="C196" s="11" t="s">
        <v>266</v>
      </c>
      <c r="E196" s="41">
        <f t="shared" si="99"/>
        <v>0</v>
      </c>
      <c r="F196" s="41">
        <f t="shared" si="100"/>
        <v>1</v>
      </c>
      <c r="G196" s="41">
        <f t="shared" si="101"/>
        <v>0</v>
      </c>
      <c r="H196" s="41">
        <f t="shared" si="102"/>
        <v>0</v>
      </c>
      <c r="I196" s="41">
        <f t="shared" si="103"/>
        <v>0</v>
      </c>
      <c r="J196" s="41">
        <f t="shared" si="104"/>
        <v>0</v>
      </c>
      <c r="K196" s="41">
        <f t="shared" ref="K196" si="110">K320</f>
        <v>0.58178191489361697</v>
      </c>
    </row>
    <row r="197" spans="1:14" ht="15" hidden="1" customHeight="1" outlineLevel="1" x14ac:dyDescent="0.2">
      <c r="A197" s="15"/>
      <c r="C197" s="11"/>
    </row>
    <row r="198" spans="1:14" ht="15" hidden="1" customHeight="1" outlineLevel="1" x14ac:dyDescent="0.2">
      <c r="A198" s="17" t="s">
        <v>226</v>
      </c>
      <c r="C198" s="18"/>
      <c r="N198" s="10" t="s">
        <v>265</v>
      </c>
    </row>
    <row r="199" spans="1:14" ht="15" hidden="1" customHeight="1" outlineLevel="1" x14ac:dyDescent="0.2">
      <c r="B199" s="10" t="s">
        <v>227</v>
      </c>
      <c r="C199" s="11" t="s">
        <v>47</v>
      </c>
      <c r="E199" s="27">
        <f t="shared" ref="E199:K199" si="111">E30</f>
        <v>25</v>
      </c>
      <c r="F199" s="27">
        <f t="shared" si="111"/>
        <v>25</v>
      </c>
      <c r="G199" s="27">
        <f t="shared" si="111"/>
        <v>25</v>
      </c>
      <c r="H199" s="27">
        <f t="shared" si="111"/>
        <v>25</v>
      </c>
      <c r="I199" s="27">
        <f t="shared" si="111"/>
        <v>12.5</v>
      </c>
      <c r="J199" s="27">
        <f t="shared" si="111"/>
        <v>12.5</v>
      </c>
      <c r="K199" s="27">
        <f t="shared" si="111"/>
        <v>30</v>
      </c>
      <c r="M199" s="10" t="s">
        <v>0</v>
      </c>
    </row>
    <row r="200" spans="1:14" ht="15" hidden="1" customHeight="1" outlineLevel="1" x14ac:dyDescent="0.2">
      <c r="B200" s="10" t="s">
        <v>228</v>
      </c>
      <c r="C200" s="11" t="s">
        <v>253</v>
      </c>
      <c r="E200" s="27">
        <f t="shared" ref="E200:K200" si="112">E30*E189</f>
        <v>25</v>
      </c>
      <c r="F200" s="27">
        <f t="shared" si="112"/>
        <v>25</v>
      </c>
      <c r="G200" s="27">
        <f t="shared" si="112"/>
        <v>11.778846153846153</v>
      </c>
      <c r="H200" s="27">
        <f t="shared" si="112"/>
        <v>25</v>
      </c>
      <c r="I200" s="27">
        <f t="shared" si="112"/>
        <v>12.5</v>
      </c>
      <c r="J200" s="27">
        <f t="shared" si="112"/>
        <v>5.6712962962962967</v>
      </c>
      <c r="K200" s="27">
        <f t="shared" si="112"/>
        <v>13.530927835051546</v>
      </c>
      <c r="M200" s="10" t="s">
        <v>0</v>
      </c>
    </row>
    <row r="201" spans="1:14" ht="15" hidden="1" customHeight="1" outlineLevel="1" x14ac:dyDescent="0.2">
      <c r="B201" s="10" t="s">
        <v>229</v>
      </c>
      <c r="C201" s="11" t="s">
        <v>256</v>
      </c>
      <c r="E201" s="23">
        <f t="shared" ref="E201:K201" si="113">(E31-E202)/2</f>
        <v>90</v>
      </c>
      <c r="F201" s="23">
        <f t="shared" si="113"/>
        <v>90</v>
      </c>
      <c r="G201" s="23">
        <f t="shared" si="113"/>
        <v>0</v>
      </c>
      <c r="H201" s="23">
        <f t="shared" si="113"/>
        <v>96</v>
      </c>
      <c r="I201" s="23">
        <f t="shared" si="113"/>
        <v>90</v>
      </c>
      <c r="J201" s="23">
        <f t="shared" si="113"/>
        <v>0</v>
      </c>
      <c r="K201" s="23">
        <f t="shared" si="113"/>
        <v>0</v>
      </c>
      <c r="M201" s="10" t="s">
        <v>0</v>
      </c>
    </row>
    <row r="202" spans="1:14" ht="15" hidden="1" customHeight="1" outlineLevel="1" x14ac:dyDescent="0.2">
      <c r="B202" s="10" t="s">
        <v>230</v>
      </c>
      <c r="C202" s="11" t="s">
        <v>255</v>
      </c>
      <c r="E202" s="23">
        <f t="shared" ref="E202:K202" si="114">E34+2*E42</f>
        <v>20</v>
      </c>
      <c r="F202" s="23">
        <f t="shared" si="114"/>
        <v>20</v>
      </c>
      <c r="G202" s="23">
        <f t="shared" si="114"/>
        <v>200</v>
      </c>
      <c r="H202" s="23">
        <f t="shared" si="114"/>
        <v>8</v>
      </c>
      <c r="I202" s="23">
        <f t="shared" si="114"/>
        <v>20</v>
      </c>
      <c r="J202" s="23">
        <f t="shared" si="114"/>
        <v>200</v>
      </c>
      <c r="K202" s="23">
        <f t="shared" si="114"/>
        <v>400</v>
      </c>
      <c r="M202" s="10" t="s">
        <v>0</v>
      </c>
    </row>
    <row r="203" spans="1:14" ht="15" hidden="1" customHeight="1" outlineLevel="1" x14ac:dyDescent="0.2">
      <c r="B203" s="10" t="s">
        <v>231</v>
      </c>
      <c r="C203" s="11" t="s">
        <v>45</v>
      </c>
      <c r="E203" s="27">
        <f t="shared" ref="E203:K203" si="115">E32</f>
        <v>25</v>
      </c>
      <c r="F203" s="27">
        <f t="shared" si="115"/>
        <v>25</v>
      </c>
      <c r="G203" s="27">
        <f t="shared" si="115"/>
        <v>25</v>
      </c>
      <c r="H203" s="27">
        <f t="shared" si="115"/>
        <v>25</v>
      </c>
      <c r="I203" s="27">
        <f t="shared" si="115"/>
        <v>12.5</v>
      </c>
      <c r="J203" s="27">
        <f t="shared" si="115"/>
        <v>12.5</v>
      </c>
      <c r="K203" s="27">
        <f t="shared" si="115"/>
        <v>30</v>
      </c>
      <c r="M203" s="10" t="s">
        <v>0</v>
      </c>
    </row>
    <row r="204" spans="1:14" ht="15" hidden="1" customHeight="1" outlineLevel="1" x14ac:dyDescent="0.2">
      <c r="B204" s="10" t="s">
        <v>232</v>
      </c>
      <c r="C204" s="11" t="s">
        <v>254</v>
      </c>
      <c r="E204" s="27">
        <f t="shared" ref="E204:K204" si="116">E32*E190</f>
        <v>25</v>
      </c>
      <c r="F204" s="27">
        <f t="shared" si="116"/>
        <v>25</v>
      </c>
      <c r="G204" s="27">
        <f t="shared" si="116"/>
        <v>11.778846153846153</v>
      </c>
      <c r="H204" s="27">
        <f t="shared" si="116"/>
        <v>25</v>
      </c>
      <c r="I204" s="27">
        <f t="shared" si="116"/>
        <v>12.5</v>
      </c>
      <c r="J204" s="27">
        <f t="shared" si="116"/>
        <v>5.6712962962962967</v>
      </c>
      <c r="K204" s="27">
        <f t="shared" si="116"/>
        <v>13.530927835051546</v>
      </c>
      <c r="M204" s="10" t="s">
        <v>0</v>
      </c>
    </row>
    <row r="205" spans="1:14" ht="15" hidden="1" customHeight="1" outlineLevel="1" x14ac:dyDescent="0.2">
      <c r="B205" s="10" t="s">
        <v>233</v>
      </c>
      <c r="C205" s="11" t="s">
        <v>257</v>
      </c>
      <c r="E205" s="23">
        <f t="shared" ref="E205:K205" si="117">(E33-E206)/2</f>
        <v>90</v>
      </c>
      <c r="F205" s="23">
        <f t="shared" si="117"/>
        <v>90</v>
      </c>
      <c r="G205" s="23">
        <f t="shared" si="117"/>
        <v>0</v>
      </c>
      <c r="H205" s="23">
        <f t="shared" si="117"/>
        <v>96</v>
      </c>
      <c r="I205" s="23">
        <f t="shared" si="117"/>
        <v>90</v>
      </c>
      <c r="J205" s="23">
        <f t="shared" si="117"/>
        <v>0</v>
      </c>
      <c r="K205" s="23">
        <f t="shared" si="117"/>
        <v>0</v>
      </c>
      <c r="M205" s="10" t="s">
        <v>0</v>
      </c>
    </row>
    <row r="206" spans="1:14" ht="15" hidden="1" customHeight="1" outlineLevel="1" x14ac:dyDescent="0.2">
      <c r="B206" s="10" t="s">
        <v>234</v>
      </c>
      <c r="C206" s="11" t="s">
        <v>258</v>
      </c>
      <c r="E206" s="23">
        <f t="shared" ref="E206:K206" si="118">E34+2*E43</f>
        <v>20</v>
      </c>
      <c r="F206" s="23">
        <f t="shared" si="118"/>
        <v>20</v>
      </c>
      <c r="G206" s="23">
        <f t="shared" si="118"/>
        <v>200</v>
      </c>
      <c r="H206" s="23">
        <f t="shared" si="118"/>
        <v>8</v>
      </c>
      <c r="I206" s="23">
        <f t="shared" si="118"/>
        <v>20</v>
      </c>
      <c r="J206" s="23">
        <f t="shared" si="118"/>
        <v>200</v>
      </c>
      <c r="K206" s="23">
        <f t="shared" si="118"/>
        <v>400</v>
      </c>
      <c r="M206" s="10" t="s">
        <v>0</v>
      </c>
    </row>
    <row r="207" spans="1:14" ht="15" hidden="1" customHeight="1" outlineLevel="1" x14ac:dyDescent="0.2">
      <c r="B207" s="10" t="s">
        <v>235</v>
      </c>
      <c r="C207" s="11" t="s">
        <v>259</v>
      </c>
      <c r="E207" s="27">
        <f t="shared" ref="E207:K207" si="119">E34*E191</f>
        <v>20</v>
      </c>
      <c r="F207" s="27">
        <f t="shared" si="119"/>
        <v>20</v>
      </c>
      <c r="G207" s="27">
        <f t="shared" si="119"/>
        <v>9.4230769230769234</v>
      </c>
      <c r="H207" s="27">
        <f t="shared" si="119"/>
        <v>6.6534208399278123</v>
      </c>
      <c r="I207" s="27">
        <f t="shared" si="119"/>
        <v>20</v>
      </c>
      <c r="J207" s="27">
        <f t="shared" si="119"/>
        <v>9.0740740740740744</v>
      </c>
      <c r="K207" s="27">
        <f t="shared" si="119"/>
        <v>14.544547872340424</v>
      </c>
      <c r="M207" s="10" t="s">
        <v>0</v>
      </c>
    </row>
    <row r="208" spans="1:14" ht="15" hidden="1" customHeight="1" outlineLevel="1" x14ac:dyDescent="0.2">
      <c r="B208" s="10" t="s">
        <v>236</v>
      </c>
      <c r="C208" s="11" t="s">
        <v>260</v>
      </c>
      <c r="E208" s="27">
        <f t="shared" ref="E208:K208" si="120">E34*E192</f>
        <v>20</v>
      </c>
      <c r="F208" s="27">
        <f t="shared" si="120"/>
        <v>20</v>
      </c>
      <c r="G208" s="27">
        <f t="shared" si="120"/>
        <v>9.4230769230769234</v>
      </c>
      <c r="H208" s="27">
        <f t="shared" si="120"/>
        <v>8</v>
      </c>
      <c r="I208" s="27">
        <f t="shared" si="120"/>
        <v>20</v>
      </c>
      <c r="J208" s="27">
        <f t="shared" si="120"/>
        <v>9.0740740740740744</v>
      </c>
      <c r="K208" s="27">
        <f t="shared" si="120"/>
        <v>14.544547872340424</v>
      </c>
      <c r="M208" s="10" t="s">
        <v>0</v>
      </c>
    </row>
    <row r="209" spans="1:13" ht="15" hidden="1" customHeight="1" outlineLevel="1" x14ac:dyDescent="0.2">
      <c r="B209" s="10" t="s">
        <v>237</v>
      </c>
      <c r="C209" s="11" t="s">
        <v>261</v>
      </c>
      <c r="E209" s="27">
        <f t="shared" ref="E209:K209" si="121">E34*E193</f>
        <v>0</v>
      </c>
      <c r="F209" s="27">
        <f t="shared" si="121"/>
        <v>13.611111111111111</v>
      </c>
      <c r="G209" s="27">
        <f t="shared" si="121"/>
        <v>20</v>
      </c>
      <c r="H209" s="27">
        <f t="shared" si="121"/>
        <v>0</v>
      </c>
      <c r="I209" s="27">
        <f t="shared" si="121"/>
        <v>0</v>
      </c>
      <c r="J209" s="27">
        <f t="shared" si="121"/>
        <v>20</v>
      </c>
      <c r="K209" s="27">
        <f t="shared" si="121"/>
        <v>25</v>
      </c>
      <c r="M209" s="10" t="s">
        <v>0</v>
      </c>
    </row>
    <row r="210" spans="1:13" ht="15" hidden="1" customHeight="1" outlineLevel="1" x14ac:dyDescent="0.2">
      <c r="B210" s="10" t="s">
        <v>238</v>
      </c>
      <c r="C210" s="11" t="s">
        <v>262</v>
      </c>
      <c r="E210" s="27">
        <f t="shared" ref="E210:K210" si="122">E34*E194</f>
        <v>0</v>
      </c>
      <c r="F210" s="27">
        <f t="shared" si="122"/>
        <v>20</v>
      </c>
      <c r="G210" s="27">
        <f t="shared" si="122"/>
        <v>9.4230769230769234</v>
      </c>
      <c r="H210" s="27">
        <f t="shared" si="122"/>
        <v>0</v>
      </c>
      <c r="I210" s="27">
        <f t="shared" si="122"/>
        <v>0</v>
      </c>
      <c r="J210" s="27">
        <f t="shared" si="122"/>
        <v>9.0740740740740744</v>
      </c>
      <c r="K210" s="27">
        <f t="shared" si="122"/>
        <v>25</v>
      </c>
      <c r="M210" s="10" t="s">
        <v>0</v>
      </c>
    </row>
    <row r="211" spans="1:13" ht="15" hidden="1" customHeight="1" outlineLevel="1" x14ac:dyDescent="0.2">
      <c r="B211" s="10" t="s">
        <v>239</v>
      </c>
      <c r="C211" s="11" t="s">
        <v>263</v>
      </c>
      <c r="E211" s="27">
        <f t="shared" ref="E211:K211" si="123">E34*E195</f>
        <v>0</v>
      </c>
      <c r="F211" s="27">
        <f t="shared" si="123"/>
        <v>13.611111111111111</v>
      </c>
      <c r="G211" s="27">
        <f t="shared" si="123"/>
        <v>0</v>
      </c>
      <c r="H211" s="27">
        <f t="shared" si="123"/>
        <v>0</v>
      </c>
      <c r="I211" s="27">
        <f t="shared" si="123"/>
        <v>0</v>
      </c>
      <c r="J211" s="27">
        <f t="shared" si="123"/>
        <v>0</v>
      </c>
      <c r="K211" s="27">
        <f t="shared" si="123"/>
        <v>25</v>
      </c>
      <c r="M211" s="10" t="s">
        <v>0</v>
      </c>
    </row>
    <row r="212" spans="1:13" ht="15" hidden="1" customHeight="1" outlineLevel="1" x14ac:dyDescent="0.2">
      <c r="B212" s="10" t="s">
        <v>316</v>
      </c>
      <c r="C212" s="11" t="s">
        <v>317</v>
      </c>
      <c r="E212" s="27">
        <f t="shared" ref="E212:K212" si="124">E34*E196</f>
        <v>0</v>
      </c>
      <c r="F212" s="27">
        <f t="shared" si="124"/>
        <v>20</v>
      </c>
      <c r="G212" s="27">
        <f t="shared" si="124"/>
        <v>0</v>
      </c>
      <c r="H212" s="27">
        <f t="shared" si="124"/>
        <v>0</v>
      </c>
      <c r="I212" s="27">
        <f t="shared" si="124"/>
        <v>0</v>
      </c>
      <c r="J212" s="27">
        <f t="shared" si="124"/>
        <v>0</v>
      </c>
      <c r="K212" s="27">
        <f t="shared" si="124"/>
        <v>14.544547872340424</v>
      </c>
      <c r="M212" s="10" t="s">
        <v>0</v>
      </c>
    </row>
    <row r="213" spans="1:13" ht="15" hidden="1" customHeight="1" outlineLevel="1" x14ac:dyDescent="0.2">
      <c r="B213" s="10" t="s">
        <v>240</v>
      </c>
      <c r="C213" s="11" t="s">
        <v>264</v>
      </c>
      <c r="E213" s="43">
        <f t="shared" ref="E213:E218" si="125">E293</f>
        <v>5</v>
      </c>
      <c r="F213" s="43">
        <f t="shared" ref="F213:F218" si="126">F321</f>
        <v>5</v>
      </c>
      <c r="G213" s="43">
        <f t="shared" ref="G213:G218" si="127">G307</f>
        <v>5</v>
      </c>
      <c r="H213" s="43">
        <f t="shared" ref="H213:H218" si="128">H293</f>
        <v>329.79597394307621</v>
      </c>
      <c r="I213" s="43">
        <f t="shared" ref="I213:I218" si="129">I293</f>
        <v>5</v>
      </c>
      <c r="J213" s="43">
        <f t="shared" ref="J213:J218" si="130">J307</f>
        <v>5</v>
      </c>
      <c r="K213" s="43">
        <f t="shared" ref="K213" si="131">K321</f>
        <v>5</v>
      </c>
      <c r="M213" s="10" t="s">
        <v>0</v>
      </c>
    </row>
    <row r="214" spans="1:13" ht="15" hidden="1" customHeight="1" outlineLevel="1" x14ac:dyDescent="0.2">
      <c r="B214" s="10" t="s">
        <v>241</v>
      </c>
      <c r="C214" s="11" t="s">
        <v>264</v>
      </c>
      <c r="E214" s="43">
        <f t="shared" si="125"/>
        <v>645</v>
      </c>
      <c r="F214" s="43">
        <f t="shared" si="126"/>
        <v>60</v>
      </c>
      <c r="G214" s="43">
        <f t="shared" si="127"/>
        <v>30</v>
      </c>
      <c r="H214" s="43">
        <f t="shared" si="128"/>
        <v>320.20402605692379</v>
      </c>
      <c r="I214" s="43">
        <f t="shared" si="129"/>
        <v>670</v>
      </c>
      <c r="J214" s="43">
        <f t="shared" si="130"/>
        <v>30</v>
      </c>
      <c r="K214" s="43">
        <f t="shared" ref="K214" si="132">K322</f>
        <v>183</v>
      </c>
      <c r="M214" s="10" t="s">
        <v>0</v>
      </c>
    </row>
    <row r="215" spans="1:13" ht="15" hidden="1" customHeight="1" outlineLevel="1" x14ac:dyDescent="0.2">
      <c r="B215" s="10" t="s">
        <v>242</v>
      </c>
      <c r="C215" s="11" t="s">
        <v>264</v>
      </c>
      <c r="E215" s="43">
        <f t="shared" si="125"/>
        <v>0</v>
      </c>
      <c r="F215" s="43">
        <f t="shared" si="126"/>
        <v>70</v>
      </c>
      <c r="G215" s="43">
        <f t="shared" si="127"/>
        <v>580</v>
      </c>
      <c r="H215" s="43">
        <f t="shared" si="128"/>
        <v>0</v>
      </c>
      <c r="I215" s="43">
        <f t="shared" si="129"/>
        <v>0</v>
      </c>
      <c r="J215" s="43">
        <f t="shared" si="130"/>
        <v>605</v>
      </c>
      <c r="K215" s="43">
        <f t="shared" ref="K215" si="133">K323</f>
        <v>188</v>
      </c>
      <c r="M215" s="10" t="s">
        <v>0</v>
      </c>
    </row>
    <row r="216" spans="1:13" ht="15" hidden="1" customHeight="1" outlineLevel="1" x14ac:dyDescent="0.2">
      <c r="B216" s="10" t="s">
        <v>243</v>
      </c>
      <c r="C216" s="11" t="s">
        <v>264</v>
      </c>
      <c r="E216" s="43">
        <f t="shared" si="125"/>
        <v>0</v>
      </c>
      <c r="F216" s="43">
        <f t="shared" si="126"/>
        <v>380</v>
      </c>
      <c r="G216" s="43">
        <f t="shared" si="127"/>
        <v>35</v>
      </c>
      <c r="H216" s="43">
        <f t="shared" si="128"/>
        <v>0</v>
      </c>
      <c r="I216" s="43">
        <f t="shared" si="129"/>
        <v>0</v>
      </c>
      <c r="J216" s="43">
        <f t="shared" si="130"/>
        <v>35</v>
      </c>
      <c r="K216" s="43">
        <f t="shared" ref="K216" si="134">K324</f>
        <v>188</v>
      </c>
      <c r="M216" s="10" t="s">
        <v>0</v>
      </c>
    </row>
    <row r="217" spans="1:13" ht="15" hidden="1" customHeight="1" outlineLevel="1" x14ac:dyDescent="0.2">
      <c r="B217" s="10" t="s">
        <v>244</v>
      </c>
      <c r="C217" s="11" t="s">
        <v>264</v>
      </c>
      <c r="E217" s="43">
        <f t="shared" si="125"/>
        <v>0</v>
      </c>
      <c r="F217" s="43">
        <f t="shared" si="126"/>
        <v>70</v>
      </c>
      <c r="G217" s="43">
        <f t="shared" si="127"/>
        <v>0</v>
      </c>
      <c r="H217" s="43">
        <f t="shared" si="128"/>
        <v>0</v>
      </c>
      <c r="I217" s="43">
        <f t="shared" si="129"/>
        <v>0</v>
      </c>
      <c r="J217" s="43">
        <f t="shared" si="130"/>
        <v>0</v>
      </c>
      <c r="K217" s="43">
        <f t="shared" ref="K217" si="135">K325</f>
        <v>188</v>
      </c>
      <c r="M217" s="10" t="s">
        <v>0</v>
      </c>
    </row>
    <row r="218" spans="1:13" ht="15" hidden="1" customHeight="1" outlineLevel="1" x14ac:dyDescent="0.2">
      <c r="B218" s="10" t="s">
        <v>319</v>
      </c>
      <c r="C218" s="11" t="s">
        <v>264</v>
      </c>
      <c r="E218" s="43">
        <f t="shared" si="125"/>
        <v>0</v>
      </c>
      <c r="F218" s="43">
        <f t="shared" si="126"/>
        <v>65</v>
      </c>
      <c r="G218" s="43">
        <f t="shared" si="127"/>
        <v>0</v>
      </c>
      <c r="H218" s="43">
        <f t="shared" si="128"/>
        <v>0</v>
      </c>
      <c r="I218" s="43">
        <f t="shared" si="129"/>
        <v>0</v>
      </c>
      <c r="J218" s="43">
        <f t="shared" si="130"/>
        <v>0</v>
      </c>
      <c r="K218" s="43">
        <f t="shared" ref="K218" si="136">K326</f>
        <v>188</v>
      </c>
      <c r="M218" s="10" t="s">
        <v>0</v>
      </c>
    </row>
    <row r="219" spans="1:13" ht="15" hidden="1" customHeight="1" outlineLevel="1" x14ac:dyDescent="0.2">
      <c r="C219" s="11"/>
      <c r="E219" s="28"/>
      <c r="F219" s="28"/>
      <c r="G219" s="28"/>
      <c r="H219" s="28"/>
      <c r="I219" s="28"/>
      <c r="J219" s="28"/>
      <c r="K219" s="28"/>
    </row>
    <row r="220" spans="1:13" ht="15" hidden="1" customHeight="1" outlineLevel="1" x14ac:dyDescent="0.2">
      <c r="A220" s="17" t="s">
        <v>81</v>
      </c>
      <c r="C220" s="18"/>
    </row>
    <row r="221" spans="1:13" ht="15" hidden="1" customHeight="1" outlineLevel="1" x14ac:dyDescent="0.2">
      <c r="B221" s="10" t="s">
        <v>65</v>
      </c>
      <c r="C221" s="11" t="s">
        <v>85</v>
      </c>
      <c r="E221" s="3">
        <f t="shared" ref="E221:K221" si="137">2*E201*E199+E202*E200</f>
        <v>5000</v>
      </c>
      <c r="F221" s="3">
        <f t="shared" si="137"/>
        <v>5000</v>
      </c>
      <c r="G221" s="3">
        <f t="shared" si="137"/>
        <v>2355.7692307692305</v>
      </c>
      <c r="H221" s="3">
        <f t="shared" si="137"/>
        <v>5000</v>
      </c>
      <c r="I221" s="3">
        <f t="shared" si="137"/>
        <v>2500</v>
      </c>
      <c r="J221" s="3">
        <f t="shared" si="137"/>
        <v>1134.2592592592594</v>
      </c>
      <c r="K221" s="3">
        <f t="shared" si="137"/>
        <v>5412.3711340206182</v>
      </c>
      <c r="M221" s="10" t="s">
        <v>213</v>
      </c>
    </row>
    <row r="222" spans="1:13" ht="15" hidden="1" customHeight="1" outlineLevel="1" x14ac:dyDescent="0.2">
      <c r="B222" s="10" t="s">
        <v>326</v>
      </c>
      <c r="C222" s="11" t="s">
        <v>86</v>
      </c>
      <c r="E222" s="3">
        <f t="shared" ref="E222:K222" si="138">E62</f>
        <v>687.5</v>
      </c>
      <c r="F222" s="3">
        <f t="shared" si="138"/>
        <v>687.5</v>
      </c>
      <c r="G222" s="3">
        <f t="shared" si="138"/>
        <v>687.5</v>
      </c>
      <c r="H222" s="3">
        <f t="shared" si="138"/>
        <v>687.5</v>
      </c>
      <c r="I222" s="3">
        <f t="shared" si="138"/>
        <v>693.75</v>
      </c>
      <c r="J222" s="3">
        <f t="shared" si="138"/>
        <v>693.75</v>
      </c>
      <c r="K222" s="3">
        <f t="shared" si="138"/>
        <v>985</v>
      </c>
      <c r="M222" s="10" t="s">
        <v>0</v>
      </c>
    </row>
    <row r="223" spans="1:13" ht="15" hidden="1" customHeight="1" outlineLevel="1" x14ac:dyDescent="0.2">
      <c r="B223" s="10" t="s">
        <v>66</v>
      </c>
      <c r="C223" s="11" t="s">
        <v>87</v>
      </c>
      <c r="E223" s="26">
        <f t="shared" ref="E223:K223" si="139">2*E201/12*E199^3+E202/12*E200^3+E221*(E254-E222)^2</f>
        <v>569791666.66666663</v>
      </c>
      <c r="F223" s="26">
        <f t="shared" si="139"/>
        <v>569791666.66666663</v>
      </c>
      <c r="G223" s="26">
        <f t="shared" si="139"/>
        <v>268364075.79975581</v>
      </c>
      <c r="H223" s="26">
        <f t="shared" si="139"/>
        <v>586170055.55426478</v>
      </c>
      <c r="I223" s="26">
        <f t="shared" si="139"/>
        <v>295442708.33333331</v>
      </c>
      <c r="J223" s="26">
        <f t="shared" si="139"/>
        <v>134031722.15756625</v>
      </c>
      <c r="K223" s="26">
        <f t="shared" si="139"/>
        <v>1273207577.4520962</v>
      </c>
      <c r="M223" s="10" t="s">
        <v>306</v>
      </c>
    </row>
    <row r="224" spans="1:13" ht="15" hidden="1" customHeight="1" outlineLevel="1" x14ac:dyDescent="0.2">
      <c r="B224" s="10" t="s">
        <v>63</v>
      </c>
      <c r="C224" s="11" t="s">
        <v>82</v>
      </c>
      <c r="E224" s="3">
        <f t="shared" ref="E224:K224" si="140">2*E205*E203+E206*E204</f>
        <v>5000</v>
      </c>
      <c r="F224" s="3">
        <f t="shared" si="140"/>
        <v>5000</v>
      </c>
      <c r="G224" s="3">
        <f t="shared" si="140"/>
        <v>2355.7692307692305</v>
      </c>
      <c r="H224" s="3">
        <f t="shared" si="140"/>
        <v>5000</v>
      </c>
      <c r="I224" s="3">
        <f t="shared" si="140"/>
        <v>2500</v>
      </c>
      <c r="J224" s="3">
        <f t="shared" si="140"/>
        <v>1134.2592592592594</v>
      </c>
      <c r="K224" s="3">
        <f t="shared" si="140"/>
        <v>5412.3711340206182</v>
      </c>
      <c r="M224" s="10" t="s">
        <v>213</v>
      </c>
    </row>
    <row r="225" spans="1:13" ht="15" hidden="1" customHeight="1" outlineLevel="1" x14ac:dyDescent="0.2">
      <c r="B225" s="10" t="s">
        <v>327</v>
      </c>
      <c r="C225" s="11" t="s">
        <v>83</v>
      </c>
      <c r="E225" s="3">
        <f t="shared" ref="E225:K225" si="141">E65</f>
        <v>12.5</v>
      </c>
      <c r="F225" s="3">
        <f t="shared" si="141"/>
        <v>12.5</v>
      </c>
      <c r="G225" s="3">
        <f t="shared" si="141"/>
        <v>12.5</v>
      </c>
      <c r="H225" s="3">
        <f t="shared" si="141"/>
        <v>12.5</v>
      </c>
      <c r="I225" s="3">
        <f t="shared" si="141"/>
        <v>6.25</v>
      </c>
      <c r="J225" s="3">
        <f t="shared" si="141"/>
        <v>6.25</v>
      </c>
      <c r="K225" s="3">
        <f t="shared" si="141"/>
        <v>15</v>
      </c>
      <c r="M225" s="10" t="s">
        <v>0</v>
      </c>
    </row>
    <row r="226" spans="1:13" ht="15" hidden="1" customHeight="1" outlineLevel="1" x14ac:dyDescent="0.2">
      <c r="B226" s="10" t="s">
        <v>64</v>
      </c>
      <c r="C226" s="11" t="s">
        <v>84</v>
      </c>
      <c r="E226" s="26">
        <f t="shared" ref="E226:K226" si="142">2*E205/12*E203^3+E206/12*E204^3+E224*(E254-E225)^2</f>
        <v>569791666.66666663</v>
      </c>
      <c r="F226" s="26">
        <f t="shared" si="142"/>
        <v>569791666.66666663</v>
      </c>
      <c r="G226" s="26">
        <f t="shared" si="142"/>
        <v>268364075.79975602</v>
      </c>
      <c r="H226" s="26">
        <f t="shared" si="142"/>
        <v>553645453.30747712</v>
      </c>
      <c r="I226" s="26">
        <f t="shared" si="142"/>
        <v>295442708.33333331</v>
      </c>
      <c r="J226" s="26">
        <f t="shared" si="142"/>
        <v>134031722.15756625</v>
      </c>
      <c r="K226" s="26">
        <f t="shared" si="142"/>
        <v>1273207577.4520969</v>
      </c>
      <c r="M226" s="10" t="s">
        <v>306</v>
      </c>
    </row>
    <row r="227" spans="1:13" ht="15" hidden="1" customHeight="1" outlineLevel="1" x14ac:dyDescent="0.2">
      <c r="B227" s="10" t="s">
        <v>40</v>
      </c>
      <c r="C227" s="11" t="s">
        <v>88</v>
      </c>
      <c r="E227" s="3">
        <f t="shared" ref="E227:K227" si="143">SUM(E232,E235,E238,E241,E244,E247)</f>
        <v>13000</v>
      </c>
      <c r="F227" s="3">
        <f t="shared" si="143"/>
        <v>12105.555555555555</v>
      </c>
      <c r="G227" s="3">
        <f t="shared" si="143"/>
        <v>12259.615384615383</v>
      </c>
      <c r="H227" s="3">
        <f t="shared" si="143"/>
        <v>4755.9036144125439</v>
      </c>
      <c r="I227" s="3">
        <f t="shared" si="143"/>
        <v>13500</v>
      </c>
      <c r="J227" s="3">
        <f t="shared" si="143"/>
        <v>12735.185185185186</v>
      </c>
      <c r="K227" s="3">
        <f t="shared" si="143"/>
        <v>19568.75</v>
      </c>
      <c r="M227" s="10" t="s">
        <v>213</v>
      </c>
    </row>
    <row r="228" spans="1:13" ht="15" hidden="1" customHeight="1" outlineLevel="1" x14ac:dyDescent="0.2">
      <c r="B228" s="10" t="s">
        <v>328</v>
      </c>
      <c r="C228" s="11" t="s">
        <v>89</v>
      </c>
      <c r="E228" s="3">
        <f t="shared" ref="E228:K228" si="144">(E232*E233+E235*E236+E238*E239+E241*E242+E244*E245+E247*E248)/E227</f>
        <v>350</v>
      </c>
      <c r="F228" s="3">
        <f t="shared" si="144"/>
        <v>350</v>
      </c>
      <c r="G228" s="3">
        <f t="shared" si="144"/>
        <v>350.00000000000006</v>
      </c>
      <c r="H228" s="3">
        <f t="shared" si="144"/>
        <v>335.05000709102922</v>
      </c>
      <c r="I228" s="3">
        <f t="shared" si="144"/>
        <v>350</v>
      </c>
      <c r="J228" s="3">
        <f t="shared" si="144"/>
        <v>350</v>
      </c>
      <c r="K228" s="3">
        <f t="shared" si="144"/>
        <v>500</v>
      </c>
      <c r="M228" s="10" t="s">
        <v>0</v>
      </c>
    </row>
    <row r="229" spans="1:13" ht="15" hidden="1" customHeight="1" outlineLevel="1" x14ac:dyDescent="0.2">
      <c r="B229" s="10" t="s">
        <v>67</v>
      </c>
      <c r="C229" s="11" t="s">
        <v>90</v>
      </c>
      <c r="E229" s="26">
        <f t="shared" ref="E229:K229" si="145">SUM(E234,E237,E240,E243,E246,E249)</f>
        <v>457708333.33333331</v>
      </c>
      <c r="F229" s="26">
        <f t="shared" si="145"/>
        <v>412061851.85185182</v>
      </c>
      <c r="G229" s="26">
        <f t="shared" si="145"/>
        <v>387624759.61538464</v>
      </c>
      <c r="H229" s="26">
        <f t="shared" si="145"/>
        <v>167099999.74110168</v>
      </c>
      <c r="I229" s="26">
        <f t="shared" si="145"/>
        <v>512578125</v>
      </c>
      <c r="J229" s="26">
        <f t="shared" si="145"/>
        <v>434183013.11728394</v>
      </c>
      <c r="K229" s="26">
        <f t="shared" si="145"/>
        <v>1163020091.6666665</v>
      </c>
      <c r="M229" s="10" t="s">
        <v>306</v>
      </c>
    </row>
    <row r="230" spans="1:13" ht="15" hidden="1" customHeight="1" outlineLevel="1" x14ac:dyDescent="0.2">
      <c r="C230" s="11"/>
      <c r="E230" s="28"/>
      <c r="F230" s="28"/>
      <c r="G230" s="28"/>
      <c r="H230" s="28"/>
      <c r="I230" s="28"/>
      <c r="J230" s="28"/>
      <c r="K230" s="28"/>
    </row>
    <row r="231" spans="1:13" ht="15" hidden="1" customHeight="1" outlineLevel="1" x14ac:dyDescent="0.2">
      <c r="A231" s="17" t="s">
        <v>299</v>
      </c>
      <c r="C231" s="18"/>
    </row>
    <row r="232" spans="1:13" ht="15" hidden="1" customHeight="1" outlineLevel="1" x14ac:dyDescent="0.2">
      <c r="B232" s="10" t="s">
        <v>271</v>
      </c>
      <c r="C232" s="11" t="s">
        <v>273</v>
      </c>
      <c r="E232" s="3">
        <f t="shared" ref="E232:K232" si="146">E207*E213</f>
        <v>100</v>
      </c>
      <c r="F232" s="3">
        <f t="shared" si="146"/>
        <v>100</v>
      </c>
      <c r="G232" s="3">
        <f t="shared" si="146"/>
        <v>47.115384615384613</v>
      </c>
      <c r="H232" s="3">
        <f t="shared" si="146"/>
        <v>2194.2714059571531</v>
      </c>
      <c r="I232" s="3">
        <f t="shared" si="146"/>
        <v>100</v>
      </c>
      <c r="J232" s="3">
        <f t="shared" si="146"/>
        <v>45.370370370370374</v>
      </c>
      <c r="K232" s="3">
        <f t="shared" si="146"/>
        <v>72.722739361702111</v>
      </c>
      <c r="M232" s="10" t="s">
        <v>213</v>
      </c>
    </row>
    <row r="233" spans="1:13" ht="15" hidden="1" customHeight="1" outlineLevel="1" x14ac:dyDescent="0.2">
      <c r="B233" s="10" t="s">
        <v>148</v>
      </c>
      <c r="C233" s="11" t="s">
        <v>274</v>
      </c>
      <c r="E233" s="3">
        <f t="shared" ref="E233:K233" si="147">E35+E32-E213/2</f>
        <v>672.5</v>
      </c>
      <c r="F233" s="3">
        <f t="shared" si="147"/>
        <v>672.5</v>
      </c>
      <c r="G233" s="3">
        <f t="shared" si="147"/>
        <v>672.5</v>
      </c>
      <c r="H233" s="3">
        <f t="shared" si="147"/>
        <v>510.1020130284619</v>
      </c>
      <c r="I233" s="3">
        <f t="shared" si="147"/>
        <v>685</v>
      </c>
      <c r="J233" s="3">
        <f t="shared" si="147"/>
        <v>685</v>
      </c>
      <c r="K233" s="3">
        <f t="shared" si="147"/>
        <v>967.5</v>
      </c>
      <c r="M233" s="10" t="s">
        <v>0</v>
      </c>
    </row>
    <row r="234" spans="1:13" ht="15" hidden="1" customHeight="1" outlineLevel="1" x14ac:dyDescent="0.2">
      <c r="B234" s="10" t="s">
        <v>272</v>
      </c>
      <c r="C234" s="11" t="s">
        <v>275</v>
      </c>
      <c r="E234" s="26">
        <f t="shared" ref="E234:K234" si="148">E207/12*E213^3+E232*(E233-E254)^2</f>
        <v>10400833.333333334</v>
      </c>
      <c r="F234" s="26">
        <f t="shared" si="148"/>
        <v>10400833.333333334</v>
      </c>
      <c r="G234" s="26">
        <f t="shared" si="148"/>
        <v>4900392.6282051262</v>
      </c>
      <c r="H234" s="26">
        <f t="shared" si="148"/>
        <v>79569864.119930908</v>
      </c>
      <c r="I234" s="26">
        <f t="shared" si="148"/>
        <v>11222708.333333334</v>
      </c>
      <c r="J234" s="26">
        <f t="shared" si="148"/>
        <v>5091784.3364197537</v>
      </c>
      <c r="K234" s="26">
        <f t="shared" si="148"/>
        <v>15894160.710328005</v>
      </c>
      <c r="M234" s="10" t="s">
        <v>306</v>
      </c>
    </row>
    <row r="235" spans="1:13" ht="15" hidden="1" customHeight="1" outlineLevel="1" x14ac:dyDescent="0.2">
      <c r="B235" s="10" t="s">
        <v>276</v>
      </c>
      <c r="C235" s="11" t="s">
        <v>277</v>
      </c>
      <c r="E235" s="3">
        <f t="shared" ref="E235:K235" si="149">E208*E214</f>
        <v>12900</v>
      </c>
      <c r="F235" s="3">
        <f t="shared" si="149"/>
        <v>1200</v>
      </c>
      <c r="G235" s="3">
        <f t="shared" si="149"/>
        <v>282.69230769230768</v>
      </c>
      <c r="H235" s="3">
        <f t="shared" si="149"/>
        <v>2561.6322084553904</v>
      </c>
      <c r="I235" s="3">
        <f t="shared" si="149"/>
        <v>13400</v>
      </c>
      <c r="J235" s="3">
        <f t="shared" si="149"/>
        <v>272.22222222222223</v>
      </c>
      <c r="K235" s="3">
        <f t="shared" si="149"/>
        <v>2661.6522606382973</v>
      </c>
      <c r="M235" s="10" t="s">
        <v>213</v>
      </c>
    </row>
    <row r="236" spans="1:13" ht="15" hidden="1" customHeight="1" outlineLevel="1" x14ac:dyDescent="0.2">
      <c r="B236" s="10" t="s">
        <v>149</v>
      </c>
      <c r="C236" s="11" t="s">
        <v>278</v>
      </c>
      <c r="E236" s="3">
        <f t="shared" ref="E236:K236" si="150">E35+E32-E213-E214/2</f>
        <v>347.5</v>
      </c>
      <c r="F236" s="3">
        <f t="shared" si="150"/>
        <v>640</v>
      </c>
      <c r="G236" s="3">
        <f t="shared" si="150"/>
        <v>655</v>
      </c>
      <c r="H236" s="3">
        <f t="shared" si="150"/>
        <v>185.1020130284619</v>
      </c>
      <c r="I236" s="3">
        <f t="shared" si="150"/>
        <v>347.5</v>
      </c>
      <c r="J236" s="3">
        <f t="shared" si="150"/>
        <v>667.5</v>
      </c>
      <c r="K236" s="3">
        <f t="shared" si="150"/>
        <v>873.5</v>
      </c>
      <c r="M236" s="10" t="s">
        <v>0</v>
      </c>
    </row>
    <row r="237" spans="1:13" ht="15" hidden="1" customHeight="1" outlineLevel="1" x14ac:dyDescent="0.2">
      <c r="B237" s="10" t="s">
        <v>279</v>
      </c>
      <c r="C237" s="11" t="s">
        <v>280</v>
      </c>
      <c r="E237" s="26">
        <f t="shared" ref="E237:K237" si="151">E208/12*E214^3+E235*(E236-E254)^2</f>
        <v>447307500</v>
      </c>
      <c r="F237" s="26">
        <f t="shared" si="151"/>
        <v>101280000</v>
      </c>
      <c r="G237" s="26">
        <f t="shared" si="151"/>
        <v>26318653.846153837</v>
      </c>
      <c r="H237" s="26">
        <f t="shared" si="151"/>
        <v>87530135.621170759</v>
      </c>
      <c r="I237" s="26">
        <f t="shared" si="151"/>
        <v>501355416.66666669</v>
      </c>
      <c r="J237" s="26">
        <f t="shared" si="151"/>
        <v>27462118.055555556</v>
      </c>
      <c r="K237" s="26">
        <f t="shared" si="151"/>
        <v>378734485.12300521</v>
      </c>
      <c r="M237" s="10" t="s">
        <v>306</v>
      </c>
    </row>
    <row r="238" spans="1:13" ht="15" hidden="1" customHeight="1" outlineLevel="1" x14ac:dyDescent="0.2">
      <c r="B238" s="10" t="s">
        <v>281</v>
      </c>
      <c r="C238" s="11" t="s">
        <v>282</v>
      </c>
      <c r="E238" s="3">
        <f t="shared" ref="E238:K238" si="152">E209*E215</f>
        <v>0</v>
      </c>
      <c r="F238" s="3">
        <f t="shared" si="152"/>
        <v>952.77777777777771</v>
      </c>
      <c r="G238" s="3">
        <f t="shared" si="152"/>
        <v>11600</v>
      </c>
      <c r="H238" s="3">
        <f t="shared" si="152"/>
        <v>0</v>
      </c>
      <c r="I238" s="3">
        <f t="shared" si="152"/>
        <v>0</v>
      </c>
      <c r="J238" s="3">
        <f t="shared" si="152"/>
        <v>12100</v>
      </c>
      <c r="K238" s="3">
        <f t="shared" si="152"/>
        <v>4700</v>
      </c>
      <c r="M238" s="10" t="s">
        <v>213</v>
      </c>
    </row>
    <row r="239" spans="1:13" ht="15" hidden="1" customHeight="1" outlineLevel="1" x14ac:dyDescent="0.2">
      <c r="B239" s="10" t="s">
        <v>283</v>
      </c>
      <c r="C239" s="11" t="s">
        <v>284</v>
      </c>
      <c r="E239" s="3">
        <f t="shared" ref="E239:K239" si="153">E35+E32-E213-E214-E215/2</f>
        <v>25</v>
      </c>
      <c r="F239" s="3">
        <f t="shared" si="153"/>
        <v>575</v>
      </c>
      <c r="G239" s="3">
        <f t="shared" si="153"/>
        <v>350</v>
      </c>
      <c r="H239" s="3">
        <f t="shared" si="153"/>
        <v>25</v>
      </c>
      <c r="I239" s="3">
        <f t="shared" si="153"/>
        <v>12.5</v>
      </c>
      <c r="J239" s="3">
        <f t="shared" si="153"/>
        <v>350</v>
      </c>
      <c r="K239" s="3">
        <f t="shared" si="153"/>
        <v>688</v>
      </c>
      <c r="M239" s="10" t="s">
        <v>0</v>
      </c>
    </row>
    <row r="240" spans="1:13" ht="15" hidden="1" customHeight="1" outlineLevel="1" x14ac:dyDescent="0.2">
      <c r="B240" s="10" t="s">
        <v>285</v>
      </c>
      <c r="C240" s="11" t="s">
        <v>286</v>
      </c>
      <c r="E240" s="26">
        <f t="shared" ref="E240:K240" si="154">E209/12*E215^3+E238*(E239-E254)^2</f>
        <v>0</v>
      </c>
      <c r="F240" s="26">
        <f t="shared" si="154"/>
        <v>48623425.925925925</v>
      </c>
      <c r="G240" s="26">
        <f t="shared" si="154"/>
        <v>325186666.66666669</v>
      </c>
      <c r="H240" s="26">
        <f t="shared" si="154"/>
        <v>0</v>
      </c>
      <c r="I240" s="26">
        <f t="shared" si="154"/>
        <v>0</v>
      </c>
      <c r="J240" s="26">
        <f t="shared" si="154"/>
        <v>369075208.33333337</v>
      </c>
      <c r="K240" s="26">
        <f t="shared" si="154"/>
        <v>179959866.66666657</v>
      </c>
      <c r="M240" s="10" t="s">
        <v>306</v>
      </c>
    </row>
    <row r="241" spans="1:13" ht="15" hidden="1" customHeight="1" outlineLevel="1" x14ac:dyDescent="0.2">
      <c r="B241" s="10" t="s">
        <v>287</v>
      </c>
      <c r="C241" s="11" t="s">
        <v>288</v>
      </c>
      <c r="E241" s="3">
        <f t="shared" ref="E241:K241" si="155">E210*E216</f>
        <v>0</v>
      </c>
      <c r="F241" s="3">
        <f t="shared" si="155"/>
        <v>7600</v>
      </c>
      <c r="G241" s="3">
        <f t="shared" si="155"/>
        <v>329.80769230769232</v>
      </c>
      <c r="H241" s="3">
        <f t="shared" si="155"/>
        <v>0</v>
      </c>
      <c r="I241" s="3">
        <f t="shared" si="155"/>
        <v>0</v>
      </c>
      <c r="J241" s="3">
        <f t="shared" si="155"/>
        <v>317.59259259259261</v>
      </c>
      <c r="K241" s="3">
        <f t="shared" si="155"/>
        <v>4700</v>
      </c>
      <c r="M241" s="10" t="s">
        <v>213</v>
      </c>
    </row>
    <row r="242" spans="1:13" ht="15" hidden="1" customHeight="1" outlineLevel="1" x14ac:dyDescent="0.2">
      <c r="B242" s="10" t="s">
        <v>289</v>
      </c>
      <c r="C242" s="11" t="s">
        <v>290</v>
      </c>
      <c r="E242" s="3">
        <f t="shared" ref="E242:K242" si="156">E35+E32-E213-E214-E215-E216/2</f>
        <v>25</v>
      </c>
      <c r="F242" s="3">
        <f t="shared" si="156"/>
        <v>350</v>
      </c>
      <c r="G242" s="3">
        <f t="shared" si="156"/>
        <v>42.5</v>
      </c>
      <c r="H242" s="3">
        <f t="shared" si="156"/>
        <v>25</v>
      </c>
      <c r="I242" s="3">
        <f t="shared" si="156"/>
        <v>12.5</v>
      </c>
      <c r="J242" s="3">
        <f t="shared" si="156"/>
        <v>30</v>
      </c>
      <c r="K242" s="3">
        <f t="shared" si="156"/>
        <v>500</v>
      </c>
      <c r="M242" s="10" t="s">
        <v>0</v>
      </c>
    </row>
    <row r="243" spans="1:13" ht="15" hidden="1" customHeight="1" outlineLevel="1" x14ac:dyDescent="0.2">
      <c r="B243" s="10" t="s">
        <v>291</v>
      </c>
      <c r="C243" s="11" t="s">
        <v>292</v>
      </c>
      <c r="E243" s="26">
        <f t="shared" ref="E243:K243" si="157">E210/12*E216^3+E241*(E242-E254)^2</f>
        <v>0</v>
      </c>
      <c r="F243" s="26">
        <f t="shared" si="157"/>
        <v>91453333.333333343</v>
      </c>
      <c r="G243" s="26">
        <f t="shared" si="157"/>
        <v>31219046.474358987</v>
      </c>
      <c r="H243" s="26">
        <f t="shared" si="157"/>
        <v>0</v>
      </c>
      <c r="I243" s="26">
        <f t="shared" si="157"/>
        <v>0</v>
      </c>
      <c r="J243" s="26">
        <f t="shared" si="157"/>
        <v>32553902.391975313</v>
      </c>
      <c r="K243" s="26">
        <f t="shared" si="157"/>
        <v>13843066.666666668</v>
      </c>
      <c r="M243" s="10" t="s">
        <v>306</v>
      </c>
    </row>
    <row r="244" spans="1:13" ht="15" hidden="1" customHeight="1" outlineLevel="1" x14ac:dyDescent="0.2">
      <c r="B244" s="10" t="s">
        <v>293</v>
      </c>
      <c r="C244" s="11" t="s">
        <v>294</v>
      </c>
      <c r="E244" s="3">
        <f t="shared" ref="E244:K244" si="158">E211*E217</f>
        <v>0</v>
      </c>
      <c r="F244" s="3">
        <f t="shared" si="158"/>
        <v>952.77777777777771</v>
      </c>
      <c r="G244" s="3">
        <f t="shared" si="158"/>
        <v>0</v>
      </c>
      <c r="H244" s="3">
        <f t="shared" si="158"/>
        <v>0</v>
      </c>
      <c r="I244" s="3">
        <f t="shared" si="158"/>
        <v>0</v>
      </c>
      <c r="J244" s="3">
        <f t="shared" si="158"/>
        <v>0</v>
      </c>
      <c r="K244" s="3">
        <f t="shared" si="158"/>
        <v>4700</v>
      </c>
      <c r="M244" s="10" t="s">
        <v>213</v>
      </c>
    </row>
    <row r="245" spans="1:13" ht="15" hidden="1" customHeight="1" outlineLevel="1" x14ac:dyDescent="0.2">
      <c r="B245" s="10" t="s">
        <v>295</v>
      </c>
      <c r="C245" s="11" t="s">
        <v>296</v>
      </c>
      <c r="E245" s="3">
        <f t="shared" ref="E245:K245" si="159">E35+E32-E213-E214-E215-E216-E217/2</f>
        <v>25</v>
      </c>
      <c r="F245" s="3">
        <f t="shared" si="159"/>
        <v>125</v>
      </c>
      <c r="G245" s="3">
        <f t="shared" si="159"/>
        <v>25</v>
      </c>
      <c r="H245" s="3">
        <f t="shared" si="159"/>
        <v>25</v>
      </c>
      <c r="I245" s="3">
        <f t="shared" si="159"/>
        <v>12.5</v>
      </c>
      <c r="J245" s="3">
        <f t="shared" si="159"/>
        <v>12.5</v>
      </c>
      <c r="K245" s="3">
        <f t="shared" si="159"/>
        <v>312</v>
      </c>
      <c r="M245" s="10" t="s">
        <v>0</v>
      </c>
    </row>
    <row r="246" spans="1:13" ht="15" hidden="1" customHeight="1" outlineLevel="1" x14ac:dyDescent="0.2">
      <c r="B246" s="10" t="s">
        <v>297</v>
      </c>
      <c r="C246" s="11" t="s">
        <v>298</v>
      </c>
      <c r="E246" s="26">
        <f t="shared" ref="E246:K246" si="160">E211/12*E217^3+E244*(E245-E254)^2</f>
        <v>0</v>
      </c>
      <c r="F246" s="26">
        <f t="shared" si="160"/>
        <v>48623425.925925925</v>
      </c>
      <c r="G246" s="26">
        <f t="shared" si="160"/>
        <v>0</v>
      </c>
      <c r="H246" s="26">
        <f t="shared" si="160"/>
        <v>0</v>
      </c>
      <c r="I246" s="26">
        <f t="shared" si="160"/>
        <v>0</v>
      </c>
      <c r="J246" s="26">
        <f t="shared" si="160"/>
        <v>0</v>
      </c>
      <c r="K246" s="26">
        <f t="shared" si="160"/>
        <v>179959866.66666675</v>
      </c>
      <c r="M246" s="10" t="s">
        <v>306</v>
      </c>
    </row>
    <row r="247" spans="1:13" ht="15" hidden="1" customHeight="1" outlineLevel="1" x14ac:dyDescent="0.2">
      <c r="B247" s="10" t="s">
        <v>320</v>
      </c>
      <c r="C247" s="11" t="s">
        <v>323</v>
      </c>
      <c r="E247" s="3">
        <f t="shared" ref="E247:K247" si="161">E212*E218</f>
        <v>0</v>
      </c>
      <c r="F247" s="3">
        <f t="shared" si="161"/>
        <v>1300</v>
      </c>
      <c r="G247" s="3">
        <f t="shared" si="161"/>
        <v>0</v>
      </c>
      <c r="H247" s="3">
        <f t="shared" si="161"/>
        <v>0</v>
      </c>
      <c r="I247" s="3">
        <f t="shared" si="161"/>
        <v>0</v>
      </c>
      <c r="J247" s="3">
        <f t="shared" si="161"/>
        <v>0</v>
      </c>
      <c r="K247" s="3">
        <f t="shared" si="161"/>
        <v>2734.3749999999995</v>
      </c>
      <c r="M247" s="10" t="s">
        <v>213</v>
      </c>
    </row>
    <row r="248" spans="1:13" ht="15" hidden="1" customHeight="1" outlineLevel="1" x14ac:dyDescent="0.2">
      <c r="B248" s="10" t="s">
        <v>321</v>
      </c>
      <c r="C248" s="11" t="s">
        <v>324</v>
      </c>
      <c r="E248" s="3">
        <f t="shared" ref="E248:K248" si="162">E35+E32-E213-E214-E215-E216-E217-E218/2</f>
        <v>25</v>
      </c>
      <c r="F248" s="3">
        <f t="shared" si="162"/>
        <v>57.5</v>
      </c>
      <c r="G248" s="3">
        <f t="shared" si="162"/>
        <v>25</v>
      </c>
      <c r="H248" s="3">
        <f t="shared" si="162"/>
        <v>25</v>
      </c>
      <c r="I248" s="3">
        <f t="shared" si="162"/>
        <v>12.5</v>
      </c>
      <c r="J248" s="3">
        <f t="shared" si="162"/>
        <v>12.5</v>
      </c>
      <c r="K248" s="3">
        <f t="shared" si="162"/>
        <v>124</v>
      </c>
      <c r="M248" s="10" t="s">
        <v>0</v>
      </c>
    </row>
    <row r="249" spans="1:13" ht="15" hidden="1" customHeight="1" outlineLevel="1" x14ac:dyDescent="0.2">
      <c r="B249" s="10" t="s">
        <v>322</v>
      </c>
      <c r="C249" s="11" t="s">
        <v>325</v>
      </c>
      <c r="E249" s="26">
        <f t="shared" ref="E249:K249" si="163">E212/12*E218^3+E247*(E248-E254)^2</f>
        <v>0</v>
      </c>
      <c r="F249" s="26">
        <f t="shared" si="163"/>
        <v>111680833.33333333</v>
      </c>
      <c r="G249" s="26">
        <f t="shared" si="163"/>
        <v>0</v>
      </c>
      <c r="H249" s="26">
        <f t="shared" si="163"/>
        <v>0</v>
      </c>
      <c r="I249" s="26">
        <f t="shared" si="163"/>
        <v>0</v>
      </c>
      <c r="J249" s="26">
        <f t="shared" si="163"/>
        <v>0</v>
      </c>
      <c r="K249" s="26">
        <f t="shared" si="163"/>
        <v>394628645.83333331</v>
      </c>
      <c r="M249" s="10" t="s">
        <v>306</v>
      </c>
    </row>
    <row r="250" spans="1:13" ht="15" hidden="1" customHeight="1" outlineLevel="1" x14ac:dyDescent="0.2">
      <c r="C250" s="11"/>
      <c r="E250" s="26"/>
      <c r="F250" s="26"/>
      <c r="G250" s="26"/>
      <c r="H250" s="26"/>
      <c r="I250" s="26"/>
      <c r="J250" s="26"/>
      <c r="K250" s="26"/>
    </row>
    <row r="251" spans="1:13" ht="15" hidden="1" customHeight="1" outlineLevel="1" x14ac:dyDescent="0.2">
      <c r="A251" s="17" t="s">
        <v>26</v>
      </c>
      <c r="C251" s="18"/>
    </row>
    <row r="252" spans="1:13" ht="15" hidden="1" customHeight="1" outlineLevel="1" x14ac:dyDescent="0.2">
      <c r="B252" s="10" t="s">
        <v>69</v>
      </c>
      <c r="C252" s="11" t="s">
        <v>68</v>
      </c>
      <c r="E252" s="3">
        <f t="shared" ref="E252:K252" si="164">E224+E221+E227</f>
        <v>23000</v>
      </c>
      <c r="F252" s="3">
        <f t="shared" si="164"/>
        <v>22105.555555555555</v>
      </c>
      <c r="G252" s="3">
        <f t="shared" si="164"/>
        <v>16971.153846153844</v>
      </c>
      <c r="H252" s="3">
        <f t="shared" si="164"/>
        <v>14755.903614412544</v>
      </c>
      <c r="I252" s="3">
        <f t="shared" si="164"/>
        <v>18500</v>
      </c>
      <c r="J252" s="3">
        <f t="shared" si="164"/>
        <v>15003.703703703704</v>
      </c>
      <c r="K252" s="3">
        <f t="shared" si="164"/>
        <v>30393.492268041235</v>
      </c>
      <c r="M252" s="10" t="s">
        <v>213</v>
      </c>
    </row>
    <row r="253" spans="1:13" ht="15" hidden="1" customHeight="1" outlineLevel="1" x14ac:dyDescent="0.2">
      <c r="B253" s="10" t="s">
        <v>71</v>
      </c>
      <c r="C253" s="11" t="s">
        <v>70</v>
      </c>
      <c r="E253" s="26">
        <f t="shared" ref="E253:K253" si="165">E224*E225+E221*E222+E227*E228</f>
        <v>8050000</v>
      </c>
      <c r="F253" s="26">
        <f t="shared" si="165"/>
        <v>7736944.444444444</v>
      </c>
      <c r="G253" s="26">
        <f t="shared" si="165"/>
        <v>5939903.846153846</v>
      </c>
      <c r="H253" s="26">
        <f t="shared" si="165"/>
        <v>5093465.5397331743</v>
      </c>
      <c r="I253" s="26">
        <f t="shared" si="165"/>
        <v>6475000</v>
      </c>
      <c r="J253" s="26">
        <f t="shared" si="165"/>
        <v>5251296.2962962966</v>
      </c>
      <c r="K253" s="26">
        <f t="shared" si="165"/>
        <v>15196746.134020619</v>
      </c>
      <c r="M253" s="10" t="s">
        <v>214</v>
      </c>
    </row>
    <row r="254" spans="1:13" ht="15" hidden="1" customHeight="1" outlineLevel="1" x14ac:dyDescent="0.2">
      <c r="B254" s="10" t="s">
        <v>60</v>
      </c>
      <c r="C254" s="11" t="s">
        <v>108</v>
      </c>
      <c r="E254" s="3">
        <f t="shared" ref="E254:K254" si="166">E253/E252</f>
        <v>350</v>
      </c>
      <c r="F254" s="3">
        <f t="shared" si="166"/>
        <v>350</v>
      </c>
      <c r="G254" s="3">
        <f t="shared" si="166"/>
        <v>350.00000000000006</v>
      </c>
      <c r="H254" s="3">
        <f t="shared" si="166"/>
        <v>345.18154040788329</v>
      </c>
      <c r="I254" s="3">
        <f t="shared" si="166"/>
        <v>350</v>
      </c>
      <c r="J254" s="3">
        <f t="shared" si="166"/>
        <v>350</v>
      </c>
      <c r="K254" s="3">
        <f t="shared" si="166"/>
        <v>500.00000000000006</v>
      </c>
      <c r="M254" s="10" t="s">
        <v>0</v>
      </c>
    </row>
    <row r="255" spans="1:13" ht="15" hidden="1" customHeight="1" outlineLevel="1" x14ac:dyDescent="0.2">
      <c r="B255" s="10" t="s">
        <v>73</v>
      </c>
      <c r="C255" s="11" t="s">
        <v>24</v>
      </c>
      <c r="E255" s="3">
        <f t="shared" ref="E255:K255" si="167">E29-E254</f>
        <v>350</v>
      </c>
      <c r="F255" s="3">
        <f t="shared" si="167"/>
        <v>350</v>
      </c>
      <c r="G255" s="3">
        <f t="shared" si="167"/>
        <v>349.99999999999994</v>
      </c>
      <c r="H255" s="3">
        <f t="shared" si="167"/>
        <v>354.81845959211671</v>
      </c>
      <c r="I255" s="3">
        <f t="shared" si="167"/>
        <v>350</v>
      </c>
      <c r="J255" s="3">
        <f t="shared" si="167"/>
        <v>350</v>
      </c>
      <c r="K255" s="3">
        <f t="shared" si="167"/>
        <v>499.99999999999994</v>
      </c>
      <c r="M255" s="10" t="s">
        <v>0</v>
      </c>
    </row>
    <row r="256" spans="1:13" ht="15" hidden="1" customHeight="1" outlineLevel="1" x14ac:dyDescent="0.2">
      <c r="B256" s="10" t="s">
        <v>72</v>
      </c>
      <c r="C256" s="11" t="s">
        <v>25</v>
      </c>
      <c r="E256" s="3">
        <f t="shared" ref="E256:K256" si="168">E254</f>
        <v>350</v>
      </c>
      <c r="F256" s="3">
        <f t="shared" si="168"/>
        <v>350</v>
      </c>
      <c r="G256" s="3">
        <f t="shared" si="168"/>
        <v>350.00000000000006</v>
      </c>
      <c r="H256" s="3">
        <f t="shared" si="168"/>
        <v>345.18154040788329</v>
      </c>
      <c r="I256" s="3">
        <f t="shared" si="168"/>
        <v>350</v>
      </c>
      <c r="J256" s="3">
        <f t="shared" si="168"/>
        <v>350</v>
      </c>
      <c r="K256" s="3">
        <f t="shared" si="168"/>
        <v>500.00000000000006</v>
      </c>
      <c r="M256" s="10" t="s">
        <v>0</v>
      </c>
    </row>
    <row r="257" spans="1:14" ht="15" hidden="1" customHeight="1" outlineLevel="1" x14ac:dyDescent="0.2">
      <c r="B257" s="10" t="s">
        <v>31</v>
      </c>
      <c r="C257" s="11" t="s">
        <v>74</v>
      </c>
      <c r="E257" s="26">
        <f t="shared" ref="E257:K257" si="169">E226+E223+E229</f>
        <v>1597291666.6666665</v>
      </c>
      <c r="F257" s="26">
        <f t="shared" si="169"/>
        <v>1551645185.185185</v>
      </c>
      <c r="G257" s="26">
        <f t="shared" si="169"/>
        <v>924352911.21489644</v>
      </c>
      <c r="H257" s="26">
        <f t="shared" si="169"/>
        <v>1306915508.6028438</v>
      </c>
      <c r="I257" s="26">
        <f t="shared" si="169"/>
        <v>1103463541.6666665</v>
      </c>
      <c r="J257" s="26">
        <f t="shared" si="169"/>
        <v>702246457.43241644</v>
      </c>
      <c r="K257" s="26">
        <f t="shared" si="169"/>
        <v>3709435246.5708594</v>
      </c>
      <c r="M257" s="10" t="s">
        <v>306</v>
      </c>
    </row>
    <row r="258" spans="1:14" ht="15" hidden="1" customHeight="1" outlineLevel="1" x14ac:dyDescent="0.2">
      <c r="B258" s="10" t="s">
        <v>75</v>
      </c>
      <c r="C258" s="11" t="s">
        <v>11</v>
      </c>
      <c r="E258" s="26">
        <f t="shared" ref="E258:K258" si="170">E257/E256</f>
        <v>4563690.4761904757</v>
      </c>
      <c r="F258" s="26">
        <f t="shared" si="170"/>
        <v>4433271.9576719571</v>
      </c>
      <c r="G258" s="26">
        <f t="shared" si="170"/>
        <v>2641008.3177568465</v>
      </c>
      <c r="H258" s="26">
        <f t="shared" si="170"/>
        <v>3786168.5971345073</v>
      </c>
      <c r="I258" s="26">
        <f t="shared" si="170"/>
        <v>3152752.9761904757</v>
      </c>
      <c r="J258" s="26">
        <f t="shared" si="170"/>
        <v>2006418.4498069042</v>
      </c>
      <c r="K258" s="26">
        <f t="shared" si="170"/>
        <v>7418870.4931417182</v>
      </c>
      <c r="M258" s="10" t="s">
        <v>214</v>
      </c>
    </row>
    <row r="259" spans="1:14" ht="15" hidden="1" customHeight="1" outlineLevel="1" x14ac:dyDescent="0.2">
      <c r="B259" s="10" t="s">
        <v>76</v>
      </c>
      <c r="C259" s="11" t="s">
        <v>9</v>
      </c>
      <c r="E259" s="26">
        <f t="shared" ref="E259:K259" si="171">E257/E255</f>
        <v>4563690.4761904757</v>
      </c>
      <c r="F259" s="26">
        <f t="shared" si="171"/>
        <v>4433271.9576719571</v>
      </c>
      <c r="G259" s="26">
        <f t="shared" si="171"/>
        <v>2641008.3177568475</v>
      </c>
      <c r="H259" s="26">
        <f t="shared" si="171"/>
        <v>3683335.7264027777</v>
      </c>
      <c r="I259" s="26">
        <f t="shared" si="171"/>
        <v>3152752.9761904757</v>
      </c>
      <c r="J259" s="26">
        <f t="shared" si="171"/>
        <v>2006418.4498069042</v>
      </c>
      <c r="K259" s="26">
        <f t="shared" si="171"/>
        <v>7418870.4931417201</v>
      </c>
      <c r="M259" s="10" t="s">
        <v>214</v>
      </c>
    </row>
    <row r="260" spans="1:14" ht="15" hidden="1" customHeight="1" outlineLevel="1" x14ac:dyDescent="0.2">
      <c r="B260" s="10" t="s">
        <v>269</v>
      </c>
      <c r="C260" s="11" t="s">
        <v>270</v>
      </c>
      <c r="E260" s="23">
        <f t="shared" ref="E260:K260" si="172">IF(E224+E247+E244+E241+E238+E235&lt;E232+E221,1,
IF(E224+E247+E244+E241+E238&lt;E235+E232+E221,2,
IF(E224+E247+E244+E241&lt;E238+E235+E232+E221,3,
IF(E224+E247+E244&lt;E241+E238+E235+E232+E221,4,
IF(E224+E247&lt;E244+E241+E238+E235+E232+E221,5,6)))))</f>
        <v>2</v>
      </c>
      <c r="F260" s="23">
        <f t="shared" si="172"/>
        <v>4</v>
      </c>
      <c r="G260" s="23">
        <f t="shared" si="172"/>
        <v>3</v>
      </c>
      <c r="H260" s="23">
        <f t="shared" si="172"/>
        <v>2</v>
      </c>
      <c r="I260" s="23">
        <f t="shared" si="172"/>
        <v>2</v>
      </c>
      <c r="J260" s="23">
        <f t="shared" si="172"/>
        <v>3</v>
      </c>
      <c r="K260" s="23">
        <f t="shared" si="172"/>
        <v>4</v>
      </c>
    </row>
    <row r="261" spans="1:14" ht="15" hidden="1" customHeight="1" outlineLevel="1" x14ac:dyDescent="0.2">
      <c r="B261" s="10" t="s">
        <v>62</v>
      </c>
      <c r="C261" s="11" t="s">
        <v>308</v>
      </c>
      <c r="E261" s="23">
        <f t="shared" ref="E261:K261" si="173">IF(E260=1,(E221-E224-E247-E244-E241-E238-E235)/2/E207+E233,
IF(E260=2,(E221-E224-E247-E244-E241-E238+E232)/2/E208+E236,
IF(E260=3,(E221-E224-E247-E244-E241+E235+E232)/2/E209+E239,
IF(E260=4,(E221-E224-E247-E244+E238+E235+E232)/2/E210+E242,
IF(E260=5,(E221-E224-E247+E241+E238+E235+E232)/2/E211+E245,
IF(E260=6,(E221-E224+E244+E241+E238+E235+E232)/2/E212+E248,))))))</f>
        <v>350</v>
      </c>
      <c r="F261" s="23">
        <f t="shared" si="173"/>
        <v>350</v>
      </c>
      <c r="G261" s="23">
        <f t="shared" si="173"/>
        <v>350</v>
      </c>
      <c r="H261" s="23">
        <f t="shared" si="173"/>
        <v>322.24397590078399</v>
      </c>
      <c r="I261" s="23">
        <f t="shared" si="173"/>
        <v>350</v>
      </c>
      <c r="J261" s="23">
        <f t="shared" si="173"/>
        <v>350</v>
      </c>
      <c r="K261" s="23">
        <f t="shared" si="173"/>
        <v>500</v>
      </c>
      <c r="M261" s="10" t="s">
        <v>0</v>
      </c>
      <c r="N261" s="10" t="s">
        <v>153</v>
      </c>
    </row>
    <row r="262" spans="1:14" ht="15" hidden="1" customHeight="1" outlineLevel="1" x14ac:dyDescent="0.2">
      <c r="B262" s="10" t="s">
        <v>61</v>
      </c>
      <c r="C262" s="11" t="s">
        <v>78</v>
      </c>
      <c r="E262" s="34">
        <f t="shared" ref="E262:K262" si="174">IF(E260=1,E224*(E261-E225)+E221*(E222-E261)+E207*(E233+E213/2-E261)^2/2+E207*(E261-E233+E213/2)^2/2+E235*(E261-E236)+E238*(E261-E239)+E241*(E261-E242)+E244*(E261-E245)+E247*(E261-E248),
IF(E260=2,E224*(E261-E225)+E221*(E222-E261)+E208*(E236+E214/2-E261)^2/2+E208*(E261-E236+E214/2)^2/2+E232*(E233-E261)+E238*(E261-E239)+E241*(E261-E242)+E244*(E261-E245)+E247*(E261-E248),
IF(E260=3,E224*(E261-E225)+E221*(E222-E261)+E209*(E239+E215/2-E261)^2/2+E209*(E261-E239+E215/2)^2/2+E232*(E233-E261)+E235*(E236-E261)+E241*(E261-E242)+E244*(E261-E245)+E247*(E261-E248),
IF(E260=4,E224*(E261-E225)+E221*(E222-E261)+E210*(E242+E216/2-E261)^2/2+E210*(E261-E242+E216/2)^2/2+E232*(E233-E261)+E235*(E236-E261)+E238*(E239-E261)+E244*(E261-E245)+E247*(E261-E248),
IF(E260=5,E224*(E261-E225)+E221*(E222-E261)+E211*(E245+E217/2-E261)^2/2+E211*(E261-E245+E217/2)^2/2+E232*(E233-E261)+E235*(E236-E261)+E238*(E239-E261)+E241*(E242-E261)+E247*(E261-E248),
IF(E260=6,E224*(E261-E225)+E221*(E222-E261)+E212*(E248+E218/2-E261)^2/2+E212*(E261-E248+E218/2)^2/2+E232*(E233-E261)+E235*(E236-E261)+E238*(E239-E261)+E241*(E242-E261)+E244*(E261-E245)))))))</f>
        <v>5487500</v>
      </c>
      <c r="F262" s="34">
        <f t="shared" si="174"/>
        <v>5286250</v>
      </c>
      <c r="G262" s="34">
        <f t="shared" si="174"/>
        <v>3474975.9615384615</v>
      </c>
      <c r="H262" s="34">
        <f t="shared" si="174"/>
        <v>4142736.0996984141</v>
      </c>
      <c r="I262" s="34">
        <f t="shared" si="174"/>
        <v>3996875</v>
      </c>
      <c r="J262" s="34">
        <f t="shared" si="174"/>
        <v>2813187.5</v>
      </c>
      <c r="K262" s="34">
        <f t="shared" si="174"/>
        <v>9294350</v>
      </c>
      <c r="M262" s="10" t="s">
        <v>214</v>
      </c>
      <c r="N262" s="10" t="s">
        <v>153</v>
      </c>
    </row>
    <row r="263" spans="1:14" ht="15" customHeight="1" collapsed="1" x14ac:dyDescent="0.2">
      <c r="A263" s="15"/>
      <c r="C263" s="11"/>
    </row>
    <row r="264" spans="1:14" ht="15" customHeight="1" x14ac:dyDescent="0.2">
      <c r="A264" s="15"/>
      <c r="C264" s="11"/>
    </row>
    <row r="265" spans="1:14" ht="15" customHeight="1" x14ac:dyDescent="0.2">
      <c r="A265" s="15" t="s">
        <v>361</v>
      </c>
      <c r="C265" s="11"/>
      <c r="N265" s="10" t="s">
        <v>380</v>
      </c>
    </row>
    <row r="266" spans="1:14" ht="15" hidden="1" customHeight="1" outlineLevel="1" x14ac:dyDescent="0.2">
      <c r="A266" s="15"/>
      <c r="C266" s="11"/>
    </row>
    <row r="267" spans="1:14" ht="15" hidden="1" customHeight="1" outlineLevel="1" x14ac:dyDescent="0.2">
      <c r="A267" s="17" t="s">
        <v>340</v>
      </c>
      <c r="C267" s="11"/>
      <c r="N267" s="10" t="s">
        <v>381</v>
      </c>
    </row>
    <row r="268" spans="1:14" ht="15" hidden="1" customHeight="1" outlineLevel="1" x14ac:dyDescent="0.2">
      <c r="A268" s="16"/>
      <c r="B268" s="21" t="s">
        <v>332</v>
      </c>
      <c r="C268" s="1"/>
      <c r="D268" s="19"/>
      <c r="E268" s="50">
        <f t="shared" ref="E268:K268" si="175">SQRT(E271)</f>
        <v>1</v>
      </c>
      <c r="F268" s="50">
        <f t="shared" si="175"/>
        <v>1</v>
      </c>
      <c r="G268" s="50">
        <f t="shared" si="175"/>
        <v>1</v>
      </c>
      <c r="H268" s="50">
        <f t="shared" si="175"/>
        <v>0.83167760499097654</v>
      </c>
      <c r="I268" s="50">
        <f t="shared" si="175"/>
        <v>1</v>
      </c>
      <c r="J268" s="50">
        <f t="shared" si="175"/>
        <v>1</v>
      </c>
      <c r="K268" s="50">
        <f t="shared" si="175"/>
        <v>1</v>
      </c>
      <c r="L268" s="19"/>
      <c r="M268" s="21"/>
      <c r="N268" s="10" t="s">
        <v>381</v>
      </c>
    </row>
    <row r="269" spans="1:14" ht="15" hidden="1" customHeight="1" outlineLevel="1" x14ac:dyDescent="0.2">
      <c r="A269" s="15"/>
      <c r="C269" s="11"/>
    </row>
    <row r="270" spans="1:14" ht="15" hidden="1" customHeight="1" outlineLevel="1" x14ac:dyDescent="0.2">
      <c r="A270" s="17" t="s">
        <v>337</v>
      </c>
      <c r="C270" s="11"/>
      <c r="N270" s="10" t="s">
        <v>382</v>
      </c>
    </row>
    <row r="271" spans="1:14" ht="15" hidden="1" customHeight="1" outlineLevel="1" x14ac:dyDescent="0.2">
      <c r="A271" s="16"/>
      <c r="B271" s="21" t="s">
        <v>55</v>
      </c>
      <c r="C271" s="1"/>
      <c r="D271" s="19"/>
      <c r="E271" s="18">
        <f t="shared" ref="E271:K271" si="176">MIN(1,E272-SQRT(E272^2-1/E275^2))</f>
        <v>1</v>
      </c>
      <c r="F271" s="18">
        <f t="shared" si="176"/>
        <v>1</v>
      </c>
      <c r="G271" s="18">
        <f t="shared" si="176"/>
        <v>1</v>
      </c>
      <c r="H271" s="18">
        <f t="shared" si="176"/>
        <v>0.69168763864352689</v>
      </c>
      <c r="I271" s="18">
        <f t="shared" si="176"/>
        <v>1</v>
      </c>
      <c r="J271" s="18">
        <f t="shared" si="176"/>
        <v>1</v>
      </c>
      <c r="K271" s="18">
        <f t="shared" si="176"/>
        <v>1</v>
      </c>
      <c r="L271" s="19"/>
      <c r="M271" s="21"/>
      <c r="N271" s="10" t="s">
        <v>375</v>
      </c>
    </row>
    <row r="272" spans="1:14" ht="15" hidden="1" customHeight="1" outlineLevel="1" x14ac:dyDescent="0.2">
      <c r="A272" s="16"/>
      <c r="B272" s="21" t="s">
        <v>56</v>
      </c>
      <c r="C272" s="1"/>
      <c r="D272" s="19"/>
      <c r="E272" s="29">
        <f t="shared" ref="E272:K272" si="177">(1+E273*(E275-E274)+E275^2)/(2*E275^2)</f>
        <v>11388.780830184298</v>
      </c>
      <c r="F272" s="29">
        <f t="shared" si="177"/>
        <v>10141.079802549573</v>
      </c>
      <c r="G272" s="29">
        <f t="shared" si="177"/>
        <v>10141.079802549573</v>
      </c>
      <c r="H272" s="29">
        <f t="shared" si="177"/>
        <v>1.0077154598053051</v>
      </c>
      <c r="I272" s="29">
        <f t="shared" si="177"/>
        <v>11838.804281437573</v>
      </c>
      <c r="J272" s="29">
        <f t="shared" si="177"/>
        <v>10541.446507026549</v>
      </c>
      <c r="K272" s="29">
        <f t="shared" si="177"/>
        <v>16036.520161061933</v>
      </c>
      <c r="L272" s="19"/>
      <c r="M272" s="21"/>
      <c r="N272" s="10" t="s">
        <v>375</v>
      </c>
    </row>
    <row r="273" spans="1:14" ht="15" hidden="1" customHeight="1" outlineLevel="1" x14ac:dyDescent="0.2">
      <c r="A273" s="16"/>
      <c r="C273" s="1" t="s">
        <v>199</v>
      </c>
      <c r="D273" s="19"/>
      <c r="E273" s="44">
        <f t="shared" ref="E273:K273" si="178">E48</f>
        <v>0.2</v>
      </c>
      <c r="F273" s="44">
        <f t="shared" si="178"/>
        <v>0.4</v>
      </c>
      <c r="G273" s="44">
        <f t="shared" si="178"/>
        <v>0.4</v>
      </c>
      <c r="H273" s="44">
        <f t="shared" si="178"/>
        <v>0.2</v>
      </c>
      <c r="I273" s="44">
        <f t="shared" si="178"/>
        <v>0.2</v>
      </c>
      <c r="J273" s="44">
        <f t="shared" si="178"/>
        <v>0.4</v>
      </c>
      <c r="K273" s="44">
        <f t="shared" si="178"/>
        <v>0.4</v>
      </c>
      <c r="L273" s="19"/>
      <c r="M273" s="21"/>
      <c r="N273" s="10" t="s">
        <v>375</v>
      </c>
    </row>
    <row r="274" spans="1:14" ht="15" hidden="1" customHeight="1" outlineLevel="1" x14ac:dyDescent="0.2">
      <c r="A274" s="16"/>
      <c r="C274" s="1" t="s">
        <v>50</v>
      </c>
      <c r="D274" s="19"/>
      <c r="E274" s="7">
        <v>0.5</v>
      </c>
      <c r="F274" s="7">
        <v>0.5</v>
      </c>
      <c r="G274" s="7">
        <v>0.5</v>
      </c>
      <c r="H274" s="7">
        <v>0.5</v>
      </c>
      <c r="I274" s="7">
        <v>0.5</v>
      </c>
      <c r="J274" s="7">
        <v>0.5</v>
      </c>
      <c r="K274" s="7">
        <v>0.5</v>
      </c>
      <c r="L274" s="19"/>
      <c r="M274" s="21"/>
      <c r="N274" s="10" t="s">
        <v>375</v>
      </c>
    </row>
    <row r="275" spans="1:14" ht="15" hidden="1" customHeight="1" outlineLevel="1" x14ac:dyDescent="0.2">
      <c r="A275" s="16"/>
      <c r="B275" s="21" t="s">
        <v>115</v>
      </c>
      <c r="C275" s="1"/>
      <c r="D275" s="19"/>
      <c r="E275" s="29">
        <f t="shared" ref="E275:K275" si="179">E278/PI()*SQRT(E276/E277)</f>
        <v>6.2904324832267627E-3</v>
      </c>
      <c r="F275" s="29">
        <f t="shared" si="179"/>
        <v>6.2904324832267627E-3</v>
      </c>
      <c r="G275" s="29">
        <f t="shared" si="179"/>
        <v>6.2904324832267627E-3</v>
      </c>
      <c r="H275" s="29">
        <f t="shared" si="179"/>
        <v>1.0450645315351836</v>
      </c>
      <c r="I275" s="29">
        <f t="shared" si="179"/>
        <v>6.1696285672251513E-3</v>
      </c>
      <c r="J275" s="29">
        <f t="shared" si="179"/>
        <v>6.1696285672251513E-3</v>
      </c>
      <c r="K275" s="29">
        <f t="shared" si="179"/>
        <v>5.0006211891876744E-3</v>
      </c>
      <c r="L275" s="19"/>
      <c r="M275" s="21"/>
      <c r="N275" s="10" t="s">
        <v>383</v>
      </c>
    </row>
    <row r="276" spans="1:14" ht="15" hidden="1" customHeight="1" outlineLevel="1" x14ac:dyDescent="0.2">
      <c r="A276" s="16"/>
      <c r="C276" s="1" t="s">
        <v>113</v>
      </c>
      <c r="D276" s="19"/>
      <c r="E276" s="39">
        <f t="shared" ref="E276:K276" si="180">E22</f>
        <v>240</v>
      </c>
      <c r="F276" s="39">
        <f t="shared" si="180"/>
        <v>240</v>
      </c>
      <c r="G276" s="39">
        <f t="shared" si="180"/>
        <v>240</v>
      </c>
      <c r="H276" s="39">
        <f t="shared" si="180"/>
        <v>240</v>
      </c>
      <c r="I276" s="39">
        <f t="shared" si="180"/>
        <v>240</v>
      </c>
      <c r="J276" s="39">
        <f t="shared" si="180"/>
        <v>240</v>
      </c>
      <c r="K276" s="39">
        <f t="shared" si="180"/>
        <v>240</v>
      </c>
      <c r="L276" s="19"/>
      <c r="M276" s="21" t="s">
        <v>8</v>
      </c>
      <c r="N276" s="10" t="s">
        <v>384</v>
      </c>
    </row>
    <row r="277" spans="1:14" ht="15" hidden="1" customHeight="1" outlineLevel="1" x14ac:dyDescent="0.2">
      <c r="A277" s="16"/>
      <c r="C277" s="1" t="s">
        <v>29</v>
      </c>
      <c r="D277" s="19"/>
      <c r="E277" s="35">
        <f t="shared" ref="E277:K277" si="181">E25</f>
        <v>70000</v>
      </c>
      <c r="F277" s="35">
        <f t="shared" si="181"/>
        <v>70000</v>
      </c>
      <c r="G277" s="35">
        <f t="shared" si="181"/>
        <v>70000</v>
      </c>
      <c r="H277" s="35">
        <f t="shared" si="181"/>
        <v>70000</v>
      </c>
      <c r="I277" s="35">
        <f t="shared" si="181"/>
        <v>70000</v>
      </c>
      <c r="J277" s="35">
        <f t="shared" si="181"/>
        <v>70000</v>
      </c>
      <c r="K277" s="35">
        <f t="shared" si="181"/>
        <v>70000</v>
      </c>
      <c r="L277" s="19"/>
      <c r="M277" s="21" t="s">
        <v>8</v>
      </c>
      <c r="N277" s="10" t="s">
        <v>372</v>
      </c>
    </row>
    <row r="278" spans="1:14" ht="15" hidden="1" customHeight="1" outlineLevel="1" x14ac:dyDescent="0.2">
      <c r="A278" s="16"/>
      <c r="B278" s="21" t="s">
        <v>114</v>
      </c>
      <c r="C278" s="1"/>
      <c r="D278" s="19"/>
      <c r="E278" s="35">
        <f t="shared" ref="E278:K278" si="182">E279*E282/E283</f>
        <v>0.33750000000000002</v>
      </c>
      <c r="F278" s="35">
        <f t="shared" si="182"/>
        <v>0.33750000000000002</v>
      </c>
      <c r="G278" s="35">
        <f t="shared" si="182"/>
        <v>0.33750000000000002</v>
      </c>
      <c r="H278" s="35">
        <f t="shared" si="182"/>
        <v>56.070751944896081</v>
      </c>
      <c r="I278" s="35">
        <f t="shared" si="182"/>
        <v>0.33101851851851855</v>
      </c>
      <c r="J278" s="35">
        <f t="shared" si="182"/>
        <v>0.33101851851851855</v>
      </c>
      <c r="K278" s="35">
        <f t="shared" si="182"/>
        <v>0.26829787234042557</v>
      </c>
      <c r="L278" s="19"/>
      <c r="M278" s="21"/>
      <c r="N278" s="10" t="s">
        <v>384</v>
      </c>
    </row>
    <row r="279" spans="1:14" ht="15" hidden="1" customHeight="1" outlineLevel="1" x14ac:dyDescent="0.2">
      <c r="A279" s="16"/>
      <c r="B279" s="21" t="s">
        <v>121</v>
      </c>
      <c r="C279" s="11"/>
      <c r="D279" s="19"/>
      <c r="E279" s="4">
        <f t="shared" ref="E279:K279" si="183">IF(E284&lt;=1,IF(E284&gt;-1,E280,E281))</f>
        <v>0.01</v>
      </c>
      <c r="F279" s="4">
        <f t="shared" si="183"/>
        <v>0.01</v>
      </c>
      <c r="G279" s="4">
        <f t="shared" si="183"/>
        <v>0.01</v>
      </c>
      <c r="H279" s="4">
        <f t="shared" si="183"/>
        <v>0.66454224527284245</v>
      </c>
      <c r="I279" s="4">
        <f t="shared" si="183"/>
        <v>9.6296296296296303E-3</v>
      </c>
      <c r="J279" s="4">
        <f t="shared" si="183"/>
        <v>9.6296296296296303E-3</v>
      </c>
      <c r="K279" s="4">
        <f t="shared" si="183"/>
        <v>6.914893617021277E-3</v>
      </c>
      <c r="L279" s="19"/>
      <c r="M279" s="21"/>
      <c r="N279" s="10" t="s">
        <v>385</v>
      </c>
    </row>
    <row r="280" spans="1:14" ht="15" hidden="1" customHeight="1" outlineLevel="1" x14ac:dyDescent="0.2">
      <c r="A280" s="16"/>
      <c r="B280" s="21" t="s">
        <v>123</v>
      </c>
      <c r="C280" s="11"/>
      <c r="D280" s="19"/>
      <c r="E280" s="4">
        <f t="shared" ref="E280:K280" si="184">1.15+E284/2</f>
        <v>-63.35</v>
      </c>
      <c r="F280" s="4">
        <f t="shared" si="184"/>
        <v>-63.35</v>
      </c>
      <c r="G280" s="4">
        <f t="shared" si="184"/>
        <v>-63.35</v>
      </c>
      <c r="H280" s="4">
        <f t="shared" si="184"/>
        <v>0.66454224527284245</v>
      </c>
      <c r="I280" s="4">
        <f t="shared" si="184"/>
        <v>-65.849999999999994</v>
      </c>
      <c r="J280" s="4">
        <f t="shared" si="184"/>
        <v>-65.849999999999994</v>
      </c>
      <c r="K280" s="4">
        <f t="shared" si="184"/>
        <v>-92.35</v>
      </c>
      <c r="L280" s="19"/>
      <c r="M280" s="21"/>
      <c r="N280" s="10" t="s">
        <v>385</v>
      </c>
    </row>
    <row r="281" spans="1:14" ht="15" hidden="1" customHeight="1" outlineLevel="1" x14ac:dyDescent="0.2">
      <c r="A281" s="16"/>
      <c r="B281" s="21" t="s">
        <v>122</v>
      </c>
      <c r="C281" s="11"/>
      <c r="D281" s="19"/>
      <c r="E281" s="4">
        <f t="shared" ref="E281:K281" si="185">1.3/(1-E284)</f>
        <v>0.01</v>
      </c>
      <c r="F281" s="4">
        <f t="shared" si="185"/>
        <v>0.01</v>
      </c>
      <c r="G281" s="4">
        <f t="shared" si="185"/>
        <v>0.01</v>
      </c>
      <c r="H281" s="4">
        <f t="shared" si="185"/>
        <v>0.65959194788615239</v>
      </c>
      <c r="I281" s="4">
        <f t="shared" si="185"/>
        <v>9.6296296296296303E-3</v>
      </c>
      <c r="J281" s="4">
        <f t="shared" si="185"/>
        <v>9.6296296296296303E-3</v>
      </c>
      <c r="K281" s="4">
        <f t="shared" si="185"/>
        <v>6.914893617021277E-3</v>
      </c>
      <c r="L281" s="19"/>
      <c r="M281" s="21"/>
      <c r="N281" s="10" t="s">
        <v>385</v>
      </c>
    </row>
    <row r="282" spans="1:14" ht="15" hidden="1" customHeight="1" outlineLevel="1" x14ac:dyDescent="0.2">
      <c r="A282" s="16"/>
      <c r="C282" s="1" t="s">
        <v>119</v>
      </c>
      <c r="D282" s="19"/>
      <c r="E282" s="39">
        <f t="shared" ref="E282:K282" si="186">E29-E30/2-E32/2</f>
        <v>675</v>
      </c>
      <c r="F282" s="39">
        <f t="shared" si="186"/>
        <v>675</v>
      </c>
      <c r="G282" s="39">
        <f t="shared" si="186"/>
        <v>675</v>
      </c>
      <c r="H282" s="39">
        <f t="shared" si="186"/>
        <v>675</v>
      </c>
      <c r="I282" s="39">
        <f t="shared" si="186"/>
        <v>687.5</v>
      </c>
      <c r="J282" s="39">
        <f t="shared" si="186"/>
        <v>687.5</v>
      </c>
      <c r="K282" s="39">
        <f t="shared" si="186"/>
        <v>970</v>
      </c>
      <c r="L282" s="19"/>
      <c r="M282" s="21" t="s">
        <v>0</v>
      </c>
      <c r="N282" s="10" t="s">
        <v>384</v>
      </c>
    </row>
    <row r="283" spans="1:14" ht="15" hidden="1" customHeight="1" outlineLevel="1" x14ac:dyDescent="0.2">
      <c r="A283" s="16"/>
      <c r="C283" s="1" t="s">
        <v>117</v>
      </c>
      <c r="D283" s="19"/>
      <c r="E283" s="7">
        <f t="shared" ref="E283:K283" si="187">E34</f>
        <v>20</v>
      </c>
      <c r="F283" s="7">
        <f t="shared" si="187"/>
        <v>20</v>
      </c>
      <c r="G283" s="7">
        <f t="shared" si="187"/>
        <v>20</v>
      </c>
      <c r="H283" s="7">
        <f t="shared" si="187"/>
        <v>8</v>
      </c>
      <c r="I283" s="7">
        <f t="shared" si="187"/>
        <v>20</v>
      </c>
      <c r="J283" s="7">
        <f t="shared" si="187"/>
        <v>20</v>
      </c>
      <c r="K283" s="7">
        <f t="shared" si="187"/>
        <v>25</v>
      </c>
      <c r="L283" s="19"/>
      <c r="M283" s="21" t="s">
        <v>0</v>
      </c>
      <c r="N283" s="10" t="s">
        <v>384</v>
      </c>
    </row>
    <row r="284" spans="1:14" ht="15" hidden="1" customHeight="1" outlineLevel="1" x14ac:dyDescent="0.2">
      <c r="A284" s="16"/>
      <c r="C284" s="1" t="s">
        <v>341</v>
      </c>
      <c r="D284" s="19"/>
      <c r="E284" s="44">
        <f t="shared" ref="E284:K284" si="188">-(E35-E53)/(E53)</f>
        <v>-129</v>
      </c>
      <c r="F284" s="44">
        <f t="shared" si="188"/>
        <v>-129</v>
      </c>
      <c r="G284" s="44">
        <f t="shared" si="188"/>
        <v>-129</v>
      </c>
      <c r="H284" s="44">
        <f>-(H35-H53)/(H53)</f>
        <v>-0.97091550945431493</v>
      </c>
      <c r="I284" s="44">
        <f t="shared" si="188"/>
        <v>-134</v>
      </c>
      <c r="J284" s="44">
        <f t="shared" si="188"/>
        <v>-134</v>
      </c>
      <c r="K284" s="44">
        <f t="shared" si="188"/>
        <v>-187</v>
      </c>
      <c r="L284" s="19"/>
      <c r="M284" s="21"/>
      <c r="N284" s="10" t="s">
        <v>386</v>
      </c>
    </row>
    <row r="285" spans="1:14" ht="15" hidden="1" customHeight="1" outlineLevel="1" x14ac:dyDescent="0.2">
      <c r="A285" s="15"/>
      <c r="C285" s="11"/>
    </row>
    <row r="286" spans="1:14" ht="15" hidden="1" customHeight="1" outlineLevel="1" x14ac:dyDescent="0.2">
      <c r="A286" s="17" t="s">
        <v>330</v>
      </c>
      <c r="C286" s="11"/>
      <c r="N286" s="10" t="s">
        <v>380</v>
      </c>
    </row>
    <row r="287" spans="1:14" ht="15" hidden="1" customHeight="1" outlineLevel="1" x14ac:dyDescent="0.2">
      <c r="B287" s="10" t="s">
        <v>248</v>
      </c>
      <c r="C287" s="11" t="s">
        <v>331</v>
      </c>
      <c r="E287" s="6">
        <f>MIN(E177,E268)</f>
        <v>1</v>
      </c>
      <c r="F287" s="6" t="s">
        <v>1</v>
      </c>
      <c r="G287" s="6" t="s">
        <v>1</v>
      </c>
      <c r="H287" s="6">
        <f>MIN(H177,H268)</f>
        <v>0.83167760499097654</v>
      </c>
      <c r="I287" s="6">
        <f>MIN(I177,I268)</f>
        <v>1</v>
      </c>
      <c r="J287" s="6" t="s">
        <v>1</v>
      </c>
      <c r="K287" s="6" t="s">
        <v>1</v>
      </c>
    </row>
    <row r="288" spans="1:14" ht="15" hidden="1" customHeight="1" outlineLevel="1" x14ac:dyDescent="0.2">
      <c r="B288" s="10" t="s">
        <v>249</v>
      </c>
      <c r="C288" s="11" t="s">
        <v>331</v>
      </c>
      <c r="E288" s="49">
        <f>E177</f>
        <v>1</v>
      </c>
      <c r="F288" s="49" t="s">
        <v>1</v>
      </c>
      <c r="G288" s="49" t="s">
        <v>1</v>
      </c>
      <c r="H288" s="49">
        <f>H177</f>
        <v>1</v>
      </c>
      <c r="I288" s="49">
        <f>I177</f>
        <v>1</v>
      </c>
      <c r="J288" s="49" t="s">
        <v>1</v>
      </c>
      <c r="K288" s="49" t="s">
        <v>1</v>
      </c>
    </row>
    <row r="289" spans="1:14" ht="15" hidden="1" customHeight="1" outlineLevel="1" x14ac:dyDescent="0.2">
      <c r="B289" s="10" t="s">
        <v>250</v>
      </c>
      <c r="C289" s="11" t="s">
        <v>331</v>
      </c>
      <c r="E289" s="49">
        <v>0</v>
      </c>
      <c r="F289" s="49" t="s">
        <v>1</v>
      </c>
      <c r="G289" s="49" t="s">
        <v>1</v>
      </c>
      <c r="H289" s="49">
        <v>0</v>
      </c>
      <c r="I289" s="49">
        <v>0</v>
      </c>
      <c r="J289" s="49" t="s">
        <v>1</v>
      </c>
      <c r="K289" s="49" t="s">
        <v>1</v>
      </c>
    </row>
    <row r="290" spans="1:14" ht="15" hidden="1" customHeight="1" outlineLevel="1" x14ac:dyDescent="0.2">
      <c r="B290" s="10" t="s">
        <v>251</v>
      </c>
      <c r="C290" s="11" t="s">
        <v>331</v>
      </c>
      <c r="E290" s="49">
        <v>0</v>
      </c>
      <c r="F290" s="49" t="s">
        <v>1</v>
      </c>
      <c r="G290" s="49" t="s">
        <v>1</v>
      </c>
      <c r="H290" s="49">
        <v>0</v>
      </c>
      <c r="I290" s="49">
        <v>0</v>
      </c>
      <c r="J290" s="49" t="s">
        <v>1</v>
      </c>
      <c r="K290" s="49" t="s">
        <v>1</v>
      </c>
    </row>
    <row r="291" spans="1:14" ht="15" hidden="1" customHeight="1" outlineLevel="1" x14ac:dyDescent="0.2">
      <c r="B291" s="10" t="s">
        <v>252</v>
      </c>
      <c r="C291" s="11" t="s">
        <v>331</v>
      </c>
      <c r="E291" s="49">
        <v>0</v>
      </c>
      <c r="F291" s="49" t="s">
        <v>1</v>
      </c>
      <c r="G291" s="49" t="s">
        <v>1</v>
      </c>
      <c r="H291" s="49">
        <v>0</v>
      </c>
      <c r="I291" s="49">
        <v>0</v>
      </c>
      <c r="J291" s="49" t="s">
        <v>1</v>
      </c>
      <c r="K291" s="49" t="s">
        <v>1</v>
      </c>
    </row>
    <row r="292" spans="1:14" ht="15" hidden="1" customHeight="1" outlineLevel="1" x14ac:dyDescent="0.2">
      <c r="B292" s="10" t="s">
        <v>318</v>
      </c>
      <c r="C292" s="11" t="s">
        <v>331</v>
      </c>
      <c r="E292" s="49">
        <v>0</v>
      </c>
      <c r="F292" s="49" t="s">
        <v>1</v>
      </c>
      <c r="G292" s="49" t="s">
        <v>1</v>
      </c>
      <c r="H292" s="49">
        <v>0</v>
      </c>
      <c r="I292" s="49">
        <v>0</v>
      </c>
      <c r="J292" s="49" t="s">
        <v>1</v>
      </c>
      <c r="K292" s="49" t="s">
        <v>1</v>
      </c>
    </row>
    <row r="293" spans="1:14" ht="15" hidden="1" customHeight="1" outlineLevel="1" x14ac:dyDescent="0.2">
      <c r="B293" s="10" t="s">
        <v>240</v>
      </c>
      <c r="C293" s="11" t="s">
        <v>264</v>
      </c>
      <c r="E293" s="23">
        <f>E53</f>
        <v>5</v>
      </c>
      <c r="F293" s="23" t="s">
        <v>1</v>
      </c>
      <c r="G293" s="23" t="s">
        <v>1</v>
      </c>
      <c r="H293" s="23">
        <f>H53</f>
        <v>329.79597394307621</v>
      </c>
      <c r="I293" s="23">
        <f>I53</f>
        <v>5</v>
      </c>
      <c r="J293" s="23" t="s">
        <v>1</v>
      </c>
      <c r="K293" s="23" t="s">
        <v>1</v>
      </c>
      <c r="M293" s="10" t="s">
        <v>0</v>
      </c>
    </row>
    <row r="294" spans="1:14" ht="15" hidden="1" customHeight="1" outlineLevel="1" x14ac:dyDescent="0.2">
      <c r="B294" s="10" t="s">
        <v>241</v>
      </c>
      <c r="C294" s="11" t="s">
        <v>264</v>
      </c>
      <c r="E294" s="23">
        <f>E35-E293</f>
        <v>645</v>
      </c>
      <c r="F294" s="23" t="s">
        <v>1</v>
      </c>
      <c r="G294" s="23" t="s">
        <v>1</v>
      </c>
      <c r="H294" s="23">
        <f>H35-H293</f>
        <v>320.20402605692379</v>
      </c>
      <c r="I294" s="23">
        <f>I35-I293</f>
        <v>670</v>
      </c>
      <c r="J294" s="23" t="s">
        <v>1</v>
      </c>
      <c r="K294" s="23" t="s">
        <v>1</v>
      </c>
      <c r="M294" s="10" t="s">
        <v>0</v>
      </c>
    </row>
    <row r="295" spans="1:14" ht="15" hidden="1" customHeight="1" outlineLevel="1" x14ac:dyDescent="0.2">
      <c r="B295" s="10" t="s">
        <v>242</v>
      </c>
      <c r="C295" s="11" t="s">
        <v>264</v>
      </c>
      <c r="E295" s="47">
        <v>0</v>
      </c>
      <c r="F295" s="47" t="s">
        <v>1</v>
      </c>
      <c r="G295" s="47" t="s">
        <v>1</v>
      </c>
      <c r="H295" s="47">
        <v>0</v>
      </c>
      <c r="I295" s="47">
        <v>0</v>
      </c>
      <c r="J295" s="47" t="s">
        <v>1</v>
      </c>
      <c r="K295" s="47" t="s">
        <v>1</v>
      </c>
      <c r="M295" s="10" t="s">
        <v>0</v>
      </c>
    </row>
    <row r="296" spans="1:14" ht="15" hidden="1" customHeight="1" outlineLevel="1" x14ac:dyDescent="0.2">
      <c r="B296" s="10" t="s">
        <v>243</v>
      </c>
      <c r="C296" s="11" t="s">
        <v>264</v>
      </c>
      <c r="E296" s="47">
        <v>0</v>
      </c>
      <c r="F296" s="47" t="s">
        <v>1</v>
      </c>
      <c r="G296" s="47" t="s">
        <v>1</v>
      </c>
      <c r="H296" s="47">
        <v>0</v>
      </c>
      <c r="I296" s="47">
        <v>0</v>
      </c>
      <c r="J296" s="47" t="s">
        <v>1</v>
      </c>
      <c r="K296" s="47" t="s">
        <v>1</v>
      </c>
      <c r="M296" s="10" t="s">
        <v>0</v>
      </c>
    </row>
    <row r="297" spans="1:14" ht="15" hidden="1" customHeight="1" outlineLevel="1" x14ac:dyDescent="0.2">
      <c r="B297" s="10" t="s">
        <v>244</v>
      </c>
      <c r="C297" s="11" t="s">
        <v>264</v>
      </c>
      <c r="E297" s="47">
        <v>0</v>
      </c>
      <c r="F297" s="47" t="s">
        <v>1</v>
      </c>
      <c r="G297" s="47" t="s">
        <v>1</v>
      </c>
      <c r="H297" s="47">
        <v>0</v>
      </c>
      <c r="I297" s="47">
        <v>0</v>
      </c>
      <c r="J297" s="47" t="s">
        <v>1</v>
      </c>
      <c r="K297" s="47" t="s">
        <v>1</v>
      </c>
      <c r="M297" s="10" t="s">
        <v>0</v>
      </c>
    </row>
    <row r="298" spans="1:14" ht="15" hidden="1" customHeight="1" outlineLevel="1" x14ac:dyDescent="0.2">
      <c r="B298" s="10" t="s">
        <v>319</v>
      </c>
      <c r="C298" s="11" t="s">
        <v>264</v>
      </c>
      <c r="E298" s="47">
        <v>0</v>
      </c>
      <c r="F298" s="47" t="s">
        <v>1</v>
      </c>
      <c r="G298" s="47" t="s">
        <v>1</v>
      </c>
      <c r="H298" s="47">
        <v>0</v>
      </c>
      <c r="I298" s="47">
        <v>0</v>
      </c>
      <c r="J298" s="47" t="s">
        <v>1</v>
      </c>
      <c r="K298" s="47" t="s">
        <v>1</v>
      </c>
      <c r="M298" s="10" t="s">
        <v>0</v>
      </c>
    </row>
    <row r="299" spans="1:14" ht="15" hidden="1" customHeight="1" outlineLevel="1" x14ac:dyDescent="0.2">
      <c r="A299" s="15"/>
      <c r="C299" s="11"/>
    </row>
    <row r="300" spans="1:14" ht="15" hidden="1" customHeight="1" outlineLevel="1" x14ac:dyDescent="0.2">
      <c r="A300" s="17" t="s">
        <v>345</v>
      </c>
      <c r="C300" s="11"/>
      <c r="N300" s="10" t="s">
        <v>380</v>
      </c>
    </row>
    <row r="301" spans="1:14" ht="15" hidden="1" customHeight="1" outlineLevel="1" x14ac:dyDescent="0.2">
      <c r="B301" s="10" t="s">
        <v>248</v>
      </c>
      <c r="C301" s="11" t="s">
        <v>331</v>
      </c>
      <c r="E301" s="6" t="s">
        <v>1</v>
      </c>
      <c r="F301" s="6" t="s">
        <v>1</v>
      </c>
      <c r="G301" s="6">
        <f>IF(G53&lt;G182,MIN(G177,G268),
IF(G53&lt;G182+G183,MIN(G177,G268),
IF(G53&lt;G182+G183+G184,MIN(G177,G268))))</f>
        <v>0.47115384615384615</v>
      </c>
      <c r="H301" s="6" t="s">
        <v>1</v>
      </c>
      <c r="I301" s="6" t="s">
        <v>1</v>
      </c>
      <c r="J301" s="6">
        <f>IF(J53&lt;J182,MIN(J177,J268),
IF(J53&lt;J182+J183,MIN(J177,J268),
IF(J53&lt;J182+J183+J184,MIN(J177,J268))))</f>
        <v>0.45370370370370372</v>
      </c>
      <c r="K301" s="6" t="s">
        <v>1</v>
      </c>
    </row>
    <row r="302" spans="1:14" ht="15" hidden="1" customHeight="1" outlineLevel="1" x14ac:dyDescent="0.2">
      <c r="B302" s="10" t="s">
        <v>249</v>
      </c>
      <c r="C302" s="11" t="s">
        <v>331</v>
      </c>
      <c r="E302" s="49" t="s">
        <v>1</v>
      </c>
      <c r="F302" s="49" t="s">
        <v>1</v>
      </c>
      <c r="G302" s="49">
        <f>IF(G53&lt;G182,G177,
IF(G53&lt;G182+G183,MIN(G178,G268),
IF(G53&lt;G182+G183+G184,MIN(G178,G268))))</f>
        <v>0.47115384615384615</v>
      </c>
      <c r="H302" s="49" t="s">
        <v>1</v>
      </c>
      <c r="I302" s="49" t="s">
        <v>1</v>
      </c>
      <c r="J302" s="49">
        <f>IF(J53&lt;J182,J177,
IF(J53&lt;J182+J183,MIN(J178,J268),
IF(J53&lt;J182+J183+J184,MIN(J178,J268))))</f>
        <v>0.45370370370370372</v>
      </c>
      <c r="K302" s="49" t="s">
        <v>1</v>
      </c>
    </row>
    <row r="303" spans="1:14" ht="15" hidden="1" customHeight="1" outlineLevel="1" x14ac:dyDescent="0.2">
      <c r="B303" s="10" t="s">
        <v>250</v>
      </c>
      <c r="C303" s="11" t="s">
        <v>331</v>
      </c>
      <c r="E303" s="49" t="s">
        <v>1</v>
      </c>
      <c r="F303" s="49" t="s">
        <v>1</v>
      </c>
      <c r="G303" s="49">
        <f>IF(G53&lt;G182,G178,
IF(G53&lt;G182+G183,G178,
IF(G53&lt;G182+G183+G184,MIN(G179,G268))))</f>
        <v>1</v>
      </c>
      <c r="H303" s="49" t="s">
        <v>1</v>
      </c>
      <c r="I303" s="49" t="s">
        <v>1</v>
      </c>
      <c r="J303" s="49">
        <f>IF(J53&lt;J182,J178,
IF(J53&lt;J182+J183,J178,
IF(J53&lt;J182+J183+J184,MIN(J179,J268))))</f>
        <v>1</v>
      </c>
      <c r="K303" s="49" t="s">
        <v>1</v>
      </c>
    </row>
    <row r="304" spans="1:14" ht="15" hidden="1" customHeight="1" outlineLevel="1" x14ac:dyDescent="0.2">
      <c r="B304" s="10" t="s">
        <v>251</v>
      </c>
      <c r="C304" s="11" t="s">
        <v>331</v>
      </c>
      <c r="E304" s="49" t="s">
        <v>1</v>
      </c>
      <c r="F304" s="49" t="s">
        <v>1</v>
      </c>
      <c r="G304" s="49">
        <f>IF(G53&lt;G182,G179,
IF(G53&lt;G182+G183,G179,
IF(G53&lt;G182+G183+G184,G179)))</f>
        <v>0.47115384615384615</v>
      </c>
      <c r="H304" s="49" t="s">
        <v>1</v>
      </c>
      <c r="I304" s="49" t="s">
        <v>1</v>
      </c>
      <c r="J304" s="49">
        <f>IF(J53&lt;J182,J179,
IF(J53&lt;J182+J183,J179,
IF(J53&lt;J182+J183+J184,J179)))</f>
        <v>0.45370370370370372</v>
      </c>
      <c r="K304" s="49" t="s">
        <v>1</v>
      </c>
    </row>
    <row r="305" spans="1:14" ht="15" hidden="1" customHeight="1" outlineLevel="1" x14ac:dyDescent="0.2">
      <c r="B305" s="10" t="s">
        <v>252</v>
      </c>
      <c r="C305" s="11" t="s">
        <v>331</v>
      </c>
      <c r="E305" s="49" t="s">
        <v>1</v>
      </c>
      <c r="F305" s="49" t="s">
        <v>1</v>
      </c>
      <c r="G305" s="49">
        <v>0</v>
      </c>
      <c r="H305" s="49" t="s">
        <v>1</v>
      </c>
      <c r="I305" s="49" t="s">
        <v>1</v>
      </c>
      <c r="J305" s="49">
        <v>0</v>
      </c>
      <c r="K305" s="49" t="s">
        <v>1</v>
      </c>
    </row>
    <row r="306" spans="1:14" ht="15" hidden="1" customHeight="1" outlineLevel="1" x14ac:dyDescent="0.2">
      <c r="B306" s="10" t="s">
        <v>318</v>
      </c>
      <c r="C306" s="11" t="s">
        <v>331</v>
      </c>
      <c r="E306" s="49" t="s">
        <v>1</v>
      </c>
      <c r="F306" s="49" t="s">
        <v>1</v>
      </c>
      <c r="G306" s="49">
        <v>0</v>
      </c>
      <c r="H306" s="49" t="s">
        <v>1</v>
      </c>
      <c r="I306" s="49" t="s">
        <v>1</v>
      </c>
      <c r="J306" s="49">
        <v>0</v>
      </c>
      <c r="K306" s="49" t="s">
        <v>1</v>
      </c>
    </row>
    <row r="307" spans="1:14" ht="15" hidden="1" customHeight="1" outlineLevel="1" x14ac:dyDescent="0.2">
      <c r="B307" s="10" t="s">
        <v>240</v>
      </c>
      <c r="C307" s="11" t="s">
        <v>264</v>
      </c>
      <c r="E307" s="23" t="s">
        <v>1</v>
      </c>
      <c r="F307" s="49" t="s">
        <v>1</v>
      </c>
      <c r="G307" s="23">
        <f>IF(G53&lt;G182,G53,
IF(G53&lt;G182+G183,G182,
IF(G53&lt;G182+G183+G184,G182)))</f>
        <v>5</v>
      </c>
      <c r="H307" s="23" t="s">
        <v>1</v>
      </c>
      <c r="I307" s="23" t="s">
        <v>1</v>
      </c>
      <c r="J307" s="23">
        <f>IF(J53&lt;J182,J53,
IF(J53&lt;J182+J183,J182,
IF(J53&lt;J182+J183+J184,J182)))</f>
        <v>5</v>
      </c>
      <c r="K307" s="23" t="s">
        <v>1</v>
      </c>
      <c r="M307" s="10" t="s">
        <v>0</v>
      </c>
    </row>
    <row r="308" spans="1:14" ht="15" hidden="1" customHeight="1" outlineLevel="1" x14ac:dyDescent="0.2">
      <c r="B308" s="10" t="s">
        <v>241</v>
      </c>
      <c r="C308" s="11" t="s">
        <v>264</v>
      </c>
      <c r="E308" s="23" t="s">
        <v>1</v>
      </c>
      <c r="F308" s="23" t="s">
        <v>1</v>
      </c>
      <c r="G308" s="23">
        <f>IF(G53&lt;G182,G182-G307,
IF(G53&lt;G182+G183,G53-G182,
IF(G53&lt;G182+G183+G184,G183)))</f>
        <v>30</v>
      </c>
      <c r="H308" s="23" t="s">
        <v>1</v>
      </c>
      <c r="I308" s="23" t="s">
        <v>1</v>
      </c>
      <c r="J308" s="23">
        <f>IF(J53&lt;J182,J182-J307,
IF(J53&lt;J182+J183,J53-J182,
IF(J53&lt;J182+J183+J184,J183)))</f>
        <v>30</v>
      </c>
      <c r="K308" s="23" t="s">
        <v>1</v>
      </c>
      <c r="M308" s="10" t="s">
        <v>0</v>
      </c>
    </row>
    <row r="309" spans="1:14" ht="15" hidden="1" customHeight="1" outlineLevel="1" x14ac:dyDescent="0.2">
      <c r="B309" s="10" t="s">
        <v>242</v>
      </c>
      <c r="C309" s="11" t="s">
        <v>264</v>
      </c>
      <c r="E309" s="47" t="s">
        <v>1</v>
      </c>
      <c r="F309" s="47" t="s">
        <v>1</v>
      </c>
      <c r="G309" s="47">
        <f>IF(G53&lt;G182,G183,
IF(G53&lt;G182+G183,G183-G308,
IF(G53&lt;G182+G183+G184,G53-G182-G183)))</f>
        <v>580</v>
      </c>
      <c r="H309" s="47" t="s">
        <v>1</v>
      </c>
      <c r="I309" s="47" t="s">
        <v>1</v>
      </c>
      <c r="J309" s="47">
        <f>IF(J53&lt;J182,J183,
IF(J53&lt;J182+J183,J183-J308,
IF(J53&lt;J182+J183+J184,J53-J182-J183)))</f>
        <v>605</v>
      </c>
      <c r="K309" s="47" t="s">
        <v>1</v>
      </c>
      <c r="M309" s="10" t="s">
        <v>0</v>
      </c>
    </row>
    <row r="310" spans="1:14" ht="15" hidden="1" customHeight="1" outlineLevel="1" x14ac:dyDescent="0.2">
      <c r="B310" s="10" t="s">
        <v>243</v>
      </c>
      <c r="C310" s="11" t="s">
        <v>264</v>
      </c>
      <c r="E310" s="47" t="s">
        <v>1</v>
      </c>
      <c r="F310" s="47" t="s">
        <v>1</v>
      </c>
      <c r="G310" s="47">
        <f>IF(G53&lt;G182,G184,
IF(G53&lt;G182+G183,G184,
IF(G53&lt;G182+G183+G184,G184-G309)))</f>
        <v>35</v>
      </c>
      <c r="H310" s="47" t="s">
        <v>1</v>
      </c>
      <c r="I310" s="47" t="s">
        <v>1</v>
      </c>
      <c r="J310" s="47">
        <f>IF(J53&lt;J182,J184,
IF(J53&lt;J182+J183,J184,
IF(J53&lt;J182+J183+J184,J184-J309)))</f>
        <v>35</v>
      </c>
      <c r="K310" s="47" t="s">
        <v>1</v>
      </c>
      <c r="M310" s="10" t="s">
        <v>0</v>
      </c>
    </row>
    <row r="311" spans="1:14" ht="15" hidden="1" customHeight="1" outlineLevel="1" x14ac:dyDescent="0.2">
      <c r="B311" s="10" t="s">
        <v>244</v>
      </c>
      <c r="C311" s="11" t="s">
        <v>264</v>
      </c>
      <c r="E311" s="47" t="s">
        <v>1</v>
      </c>
      <c r="F311" s="47" t="s">
        <v>1</v>
      </c>
      <c r="G311" s="47">
        <v>0</v>
      </c>
      <c r="H311" s="47" t="s">
        <v>1</v>
      </c>
      <c r="I311" s="47" t="s">
        <v>1</v>
      </c>
      <c r="J311" s="47">
        <v>0</v>
      </c>
      <c r="K311" s="47" t="s">
        <v>1</v>
      </c>
      <c r="M311" s="10" t="s">
        <v>0</v>
      </c>
    </row>
    <row r="312" spans="1:14" ht="15" hidden="1" customHeight="1" outlineLevel="1" x14ac:dyDescent="0.2">
      <c r="B312" s="10" t="s">
        <v>319</v>
      </c>
      <c r="C312" s="11" t="s">
        <v>264</v>
      </c>
      <c r="E312" s="47" t="s">
        <v>1</v>
      </c>
      <c r="F312" s="47" t="s">
        <v>1</v>
      </c>
      <c r="G312" s="47">
        <v>0</v>
      </c>
      <c r="H312" s="47" t="s">
        <v>1</v>
      </c>
      <c r="I312" s="47" t="s">
        <v>1</v>
      </c>
      <c r="J312" s="47">
        <v>0</v>
      </c>
      <c r="K312" s="47" t="s">
        <v>1</v>
      </c>
      <c r="M312" s="10" t="s">
        <v>0</v>
      </c>
    </row>
    <row r="313" spans="1:14" ht="15" hidden="1" customHeight="1" outlineLevel="1" x14ac:dyDescent="0.2">
      <c r="A313" s="15"/>
      <c r="C313" s="11"/>
    </row>
    <row r="314" spans="1:14" ht="15" hidden="1" customHeight="1" outlineLevel="1" x14ac:dyDescent="0.2">
      <c r="A314" s="17" t="s">
        <v>346</v>
      </c>
      <c r="C314" s="11"/>
      <c r="N314" s="10" t="s">
        <v>380</v>
      </c>
    </row>
    <row r="315" spans="1:14" ht="15" hidden="1" customHeight="1" outlineLevel="1" x14ac:dyDescent="0.2">
      <c r="B315" s="10" t="s">
        <v>248</v>
      </c>
      <c r="C315" s="11" t="s">
        <v>331</v>
      </c>
      <c r="E315" s="6" t="s">
        <v>1</v>
      </c>
      <c r="F315" s="6">
        <f>IF(F53&lt;F182,MIN(F177,F268),
IF(F53&lt;F182+F183,MIN(F177,F268),
IF(F53&lt;F182+F183+F184,MIN(F177,F268),
IF(F53&lt;F182+F183+F184+F185,MIN(F177,F268),
IF(F53&lt;F182+F183+F184+F185+F186,MIN(F177,F268))))))</f>
        <v>1</v>
      </c>
      <c r="G315" s="6" t="s">
        <v>1</v>
      </c>
      <c r="H315" s="6" t="s">
        <v>1</v>
      </c>
      <c r="I315" s="6" t="s">
        <v>1</v>
      </c>
      <c r="J315" s="6" t="s">
        <v>1</v>
      </c>
      <c r="K315" s="6">
        <f>IF(K53&lt;K182,MIN(K177,K268),
IF(K53&lt;K182+K183,MIN(K177,K268),
IF(K53&lt;K182+K183+K184,MIN(K177,K268),
IF(K53&lt;K182+K183+K184+K185,MIN(K177,K268),
IF(K53&lt;K182+K183+K184+K185+K186,MIN(K177,K268))))))</f>
        <v>0.58178191489361697</v>
      </c>
    </row>
    <row r="316" spans="1:14" ht="15" hidden="1" customHeight="1" outlineLevel="1" x14ac:dyDescent="0.2">
      <c r="B316" s="10" t="s">
        <v>249</v>
      </c>
      <c r="C316" s="11" t="s">
        <v>331</v>
      </c>
      <c r="E316" s="6" t="s">
        <v>1</v>
      </c>
      <c r="F316" s="49">
        <f>IF(F53&lt;F182,F177,
IF(F53&lt;F182+F183,MIN(F178,F268),
IF(F53&lt;F182+F183+F184,MIN(F178,F268),
IF(F53&lt;F182+F183+F184+F185,MIN(F178,F268),
IF(F53&lt;F182+F183+F184+F185+F186,MIN(F178,F268))))))</f>
        <v>1</v>
      </c>
      <c r="G316" s="6" t="s">
        <v>1</v>
      </c>
      <c r="H316" s="6" t="s">
        <v>1</v>
      </c>
      <c r="I316" s="6" t="s">
        <v>1</v>
      </c>
      <c r="J316" s="6" t="s">
        <v>1</v>
      </c>
      <c r="K316" s="49">
        <f>IF(K53&lt;K182,K177,
IF(K53&lt;K182+K183,MIN(K178,K268),
IF(K53&lt;K182+K183+K184,MIN(K178,K268),
IF(K53&lt;K182+K183+K184+K185,MIN(K178,K268),
IF(K53&lt;K182+K183+K184+K185+K186,MIN(K178,K268))))))</f>
        <v>0.58178191489361697</v>
      </c>
    </row>
    <row r="317" spans="1:14" ht="15" hidden="1" customHeight="1" outlineLevel="1" x14ac:dyDescent="0.2">
      <c r="B317" s="10" t="s">
        <v>250</v>
      </c>
      <c r="C317" s="11" t="s">
        <v>331</v>
      </c>
      <c r="E317" s="6" t="s">
        <v>1</v>
      </c>
      <c r="F317" s="49">
        <f>IF(F53&lt;F182,F178,
IF(F53&lt;F182+F183,F178,
IF(F53&lt;F182+F183+F184,MIN(F179,F268),
IF(F53&lt;F182+F183+F184+F185,MIN(F179,F268),
IF(F53&lt;F182+F183+F184+F185+F186,MIN(F179,F268))))))</f>
        <v>0.68055555555555558</v>
      </c>
      <c r="G317" s="6" t="s">
        <v>1</v>
      </c>
      <c r="H317" s="6" t="s">
        <v>1</v>
      </c>
      <c r="I317" s="6" t="s">
        <v>1</v>
      </c>
      <c r="J317" s="6" t="s">
        <v>1</v>
      </c>
      <c r="K317" s="49">
        <f>IF(K53&lt;K182,K178,
IF(K53&lt;K182+K183,K178,
IF(K53&lt;K182+K183+K184,MIN(K179,K268),
IF(K53&lt;K182+K183+K184+K185,MIN(K179,K268),
IF(K53&lt;K182+K183+K184+K185+K186,MIN(K179,K268))))))</f>
        <v>1</v>
      </c>
    </row>
    <row r="318" spans="1:14" ht="15" hidden="1" customHeight="1" outlineLevel="1" x14ac:dyDescent="0.2">
      <c r="B318" s="10" t="s">
        <v>251</v>
      </c>
      <c r="C318" s="11" t="s">
        <v>331</v>
      </c>
      <c r="E318" s="6" t="s">
        <v>1</v>
      </c>
      <c r="F318" s="49">
        <f>IF(F53&lt;F182,F179,
IF(F53&lt;F182+F183,F179,
IF(F53&lt;F182+F183+F184,F179,
IF(F53&lt;F182+F183+F184+F185,MIN(F180,F268),
IF(F53&lt;F182+F183+F184+F185+F186,MIN(F180,F268))))))</f>
        <v>1</v>
      </c>
      <c r="G318" s="6" t="s">
        <v>1</v>
      </c>
      <c r="H318" s="6" t="s">
        <v>1</v>
      </c>
      <c r="I318" s="6" t="s">
        <v>1</v>
      </c>
      <c r="J318" s="6" t="s">
        <v>1</v>
      </c>
      <c r="K318" s="49">
        <f>IF(K53&lt;K182,K179,
IF(K53&lt;K182+K183,K179,
IF(K53&lt;K182+K183+K184,K179,
IF(K53&lt;K182+K183+K184+K185,MIN(K180,K268),
IF(K53&lt;K182+K183+K184+K185+K186,MIN(K180,K268))))))</f>
        <v>1</v>
      </c>
    </row>
    <row r="319" spans="1:14" ht="15" hidden="1" customHeight="1" outlineLevel="1" x14ac:dyDescent="0.2">
      <c r="B319" s="10" t="s">
        <v>252</v>
      </c>
      <c r="C319" s="11" t="s">
        <v>331</v>
      </c>
      <c r="E319" s="6" t="s">
        <v>1</v>
      </c>
      <c r="F319" s="49">
        <f>IF(F53&lt;F182,F180,
IF(F53&lt;F182+F183,F180,
IF(F53&lt;F182+F183+F184,F180,
IF(F53&lt;F182+F183+F184+F185,F180,
IF(F53&lt;F182+F183+F184+F185+F186,MIN(F181,F268))))))</f>
        <v>0.68055555555555558</v>
      </c>
      <c r="G319" s="6" t="s">
        <v>1</v>
      </c>
      <c r="H319" s="6" t="s">
        <v>1</v>
      </c>
      <c r="I319" s="6" t="s">
        <v>1</v>
      </c>
      <c r="J319" s="6" t="s">
        <v>1</v>
      </c>
      <c r="K319" s="49">
        <f>IF(K53&lt;K182,K180,
IF(K53&lt;K182+K183,K180,
IF(K53&lt;K182+K183+K184,K180,
IF(K53&lt;K182+K183+K184+K185,K180,
IF(K53&lt;K182+K183+K184+K185+K186,MIN(K181,K268))))))</f>
        <v>1</v>
      </c>
    </row>
    <row r="320" spans="1:14" ht="15" hidden="1" customHeight="1" outlineLevel="1" x14ac:dyDescent="0.2">
      <c r="B320" s="10" t="s">
        <v>318</v>
      </c>
      <c r="C320" s="11" t="s">
        <v>331</v>
      </c>
      <c r="E320" s="6" t="s">
        <v>1</v>
      </c>
      <c r="F320" s="49">
        <f>IF(F53&lt;F182,F181,
IF(F53&lt;F182+F183,F181,
IF(F53&lt;F182+F183+F184,F181,
IF(F53&lt;F182+F183+F184+F185,F181,
IF(F53&lt;F182+F183+F184+F185+F186,F181)))))</f>
        <v>1</v>
      </c>
      <c r="G320" s="6" t="s">
        <v>1</v>
      </c>
      <c r="H320" s="6" t="s">
        <v>1</v>
      </c>
      <c r="I320" s="6" t="s">
        <v>1</v>
      </c>
      <c r="J320" s="6" t="s">
        <v>1</v>
      </c>
      <c r="K320" s="49">
        <f>IF(K53&lt;K182,K181,
IF(K53&lt;K182+K183,K181,
IF(K53&lt;K182+K183+K184,K181,
IF(K53&lt;K182+K183+K184+K185,K181,
IF(K53&lt;K182+K183+K184+K185+K186,K181)))))</f>
        <v>0.58178191489361697</v>
      </c>
    </row>
    <row r="321" spans="1:14" ht="15" hidden="1" customHeight="1" outlineLevel="1" x14ac:dyDescent="0.2">
      <c r="B321" s="10" t="s">
        <v>240</v>
      </c>
      <c r="C321" s="11" t="s">
        <v>264</v>
      </c>
      <c r="E321" s="6" t="s">
        <v>1</v>
      </c>
      <c r="F321" s="23">
        <f>IF(F53&lt;F182,F53,
IF(F53&lt;F182+F183,F182,
IF(F53&lt;F182+F183+F184,F182,
IF(F53&lt;F182+F183+F184+F185,F182,
IF(F53&lt;F182+F183+F184+F185+F186,F182)))))</f>
        <v>5</v>
      </c>
      <c r="G321" s="6" t="s">
        <v>1</v>
      </c>
      <c r="H321" s="6" t="s">
        <v>1</v>
      </c>
      <c r="I321" s="6" t="s">
        <v>1</v>
      </c>
      <c r="J321" s="6" t="s">
        <v>1</v>
      </c>
      <c r="K321" s="23">
        <f>IF(K53&lt;K182,K53,
IF(K53&lt;K182+K183,K182,
IF(K53&lt;K182+K183+K184,K182,
IF(K53&lt;K182+K183+K184+K185,K182,
IF(K53&lt;K182+K183+K184+K185+K186,K182)))))</f>
        <v>5</v>
      </c>
      <c r="M321" s="10" t="s">
        <v>0</v>
      </c>
    </row>
    <row r="322" spans="1:14" ht="15" hidden="1" customHeight="1" outlineLevel="1" x14ac:dyDescent="0.2">
      <c r="B322" s="10" t="s">
        <v>241</v>
      </c>
      <c r="C322" s="11" t="s">
        <v>264</v>
      </c>
      <c r="E322" s="6" t="s">
        <v>1</v>
      </c>
      <c r="F322" s="23">
        <f>IF(F53&lt;F182,F182-F321,
IF(F53&lt;F182+F183,F53-F182,
IF(F53&lt;F182+F183+F184,F183,
IF(F53&lt;F182+F183+F184+F185,F183,
IF(F53&lt;F182+F183+F184+F185+F186,F183)))))</f>
        <v>60</v>
      </c>
      <c r="G322" s="6" t="s">
        <v>1</v>
      </c>
      <c r="H322" s="6" t="s">
        <v>1</v>
      </c>
      <c r="I322" s="6" t="s">
        <v>1</v>
      </c>
      <c r="J322" s="6" t="s">
        <v>1</v>
      </c>
      <c r="K322" s="23">
        <f>IF(K53&lt;K182,K182-K321,
IF(K53&lt;K182+K183,K53-K182,
IF(K53&lt;K182+K183+K184,K183,
IF(K53&lt;K182+K183+K184+K185,K183,
IF(K53&lt;K182+K183+K184+K185+K186,K183)))))</f>
        <v>183</v>
      </c>
      <c r="M322" s="10" t="s">
        <v>0</v>
      </c>
    </row>
    <row r="323" spans="1:14" ht="15" hidden="1" customHeight="1" outlineLevel="1" x14ac:dyDescent="0.2">
      <c r="B323" s="10" t="s">
        <v>242</v>
      </c>
      <c r="C323" s="11" t="s">
        <v>264</v>
      </c>
      <c r="E323" s="6" t="s">
        <v>1</v>
      </c>
      <c r="F323" s="47">
        <f>IF(F53&lt;F182,F183,
IF(F53&lt;F182+F183,F183-F322,
IF(F53&lt;F182+F183+F184,F53-F182-F183,
IF(F53&lt;F182+F183+F184+F185,F184,
IF(F53&lt;F182+F183+F184+F185+F186,F184)))))</f>
        <v>70</v>
      </c>
      <c r="G323" s="6" t="s">
        <v>1</v>
      </c>
      <c r="H323" s="6" t="s">
        <v>1</v>
      </c>
      <c r="I323" s="6" t="s">
        <v>1</v>
      </c>
      <c r="J323" s="6" t="s">
        <v>1</v>
      </c>
      <c r="K323" s="47">
        <f>IF(K53&lt;K182,K183,
IF(K53&lt;K182+K183,K183-K322,
IF(K53&lt;K182+K183+K184,K53-K182-K183,
IF(K53&lt;K182+K183+K184+K185,K184,
IF(K53&lt;K182+K183+K184+K185+K186,K184)))))</f>
        <v>188</v>
      </c>
      <c r="M323" s="10" t="s">
        <v>0</v>
      </c>
    </row>
    <row r="324" spans="1:14" ht="15" hidden="1" customHeight="1" outlineLevel="1" x14ac:dyDescent="0.2">
      <c r="B324" s="10" t="s">
        <v>243</v>
      </c>
      <c r="C324" s="11" t="s">
        <v>264</v>
      </c>
      <c r="E324" s="6" t="s">
        <v>1</v>
      </c>
      <c r="F324" s="47">
        <f>IF(F53&lt;F182,F184,
IF(F53&lt;F182+F183,F184,
IF(F53&lt;F182+F183+F184,F184-F323,
IF(F53&lt;F182+F183+F184+F185,F53-F182-F183-F184,
IF(F53&lt;F182+F183+F184+F185+F186,F185)))))</f>
        <v>380</v>
      </c>
      <c r="G324" s="6" t="s">
        <v>1</v>
      </c>
      <c r="H324" s="6" t="s">
        <v>1</v>
      </c>
      <c r="I324" s="6" t="s">
        <v>1</v>
      </c>
      <c r="J324" s="6" t="s">
        <v>1</v>
      </c>
      <c r="K324" s="47">
        <f>IF(K53&lt;K182,K184,
IF(K53&lt;K182+K183,K184,
IF(K53&lt;K182+K183+K184,K184-K323,
IF(K53&lt;K182+K183+K184+K185,K53-K182-K183-K184,
IF(K53&lt;K182+K183+K184+K185+K186,K185)))))</f>
        <v>188</v>
      </c>
      <c r="M324" s="10" t="s">
        <v>0</v>
      </c>
    </row>
    <row r="325" spans="1:14" ht="15" hidden="1" customHeight="1" outlineLevel="1" x14ac:dyDescent="0.2">
      <c r="B325" s="10" t="s">
        <v>244</v>
      </c>
      <c r="C325" s="11" t="s">
        <v>264</v>
      </c>
      <c r="E325" s="6" t="s">
        <v>1</v>
      </c>
      <c r="F325" s="47">
        <f>IF(F53&lt;F182,F185,
IF(F53&lt;F182+F183,F185,
IF(F53&lt;F182+F183+F184,F185,
IF(F53&lt;F182+F183+F184+F185,F185-F324,
IF(F53&lt;F182+F183+F184+F185+F186,F53-F182-F183-F184-F185)))))</f>
        <v>70</v>
      </c>
      <c r="G325" s="6" t="s">
        <v>1</v>
      </c>
      <c r="H325" s="6" t="s">
        <v>1</v>
      </c>
      <c r="I325" s="6" t="s">
        <v>1</v>
      </c>
      <c r="J325" s="6" t="s">
        <v>1</v>
      </c>
      <c r="K325" s="47">
        <f>IF(K53&lt;K182,K185,
IF(K53&lt;K182+K183,K185,
IF(K53&lt;K182+K183+K184,K185,
IF(K53&lt;K182+K183+K184+K185,K185-K324,
IF(K53&lt;K182+K183+K184+K185+K186,K53-K182-K183-K184-K185)))))</f>
        <v>188</v>
      </c>
      <c r="M325" s="10" t="s">
        <v>0</v>
      </c>
    </row>
    <row r="326" spans="1:14" ht="15" hidden="1" customHeight="1" outlineLevel="1" x14ac:dyDescent="0.2">
      <c r="B326" s="10" t="s">
        <v>319</v>
      </c>
      <c r="C326" s="11" t="s">
        <v>264</v>
      </c>
      <c r="E326" s="6" t="s">
        <v>1</v>
      </c>
      <c r="F326" s="47">
        <f>IF(F53&lt;F182,F186,
IF(F53&lt;F182+F183,F186,
IF(F53&lt;F182+F183+F184,F186,
IF(F53&lt;F182+F183+F184+F185,F186,
IF(F53&lt;F182+F183+F184+F185+F186,F186-F325)))))</f>
        <v>65</v>
      </c>
      <c r="G326" s="6" t="s">
        <v>1</v>
      </c>
      <c r="H326" s="6" t="s">
        <v>1</v>
      </c>
      <c r="I326" s="6" t="s">
        <v>1</v>
      </c>
      <c r="J326" s="6" t="s">
        <v>1</v>
      </c>
      <c r="K326" s="47">
        <f>IF(K53&lt;K182,K186,
IF(K53&lt;K182+K183,K186,
IF(K53&lt;K182+K183+K184,K186,
IF(K53&lt;K182+K183+K184+K185,K186,
IF(K53&lt;K182+K183+K184+K185+K186,K186-K325)))))</f>
        <v>188</v>
      </c>
      <c r="M326" s="10" t="s">
        <v>0</v>
      </c>
    </row>
    <row r="327" spans="1:14" ht="15" customHeight="1" collapsed="1" x14ac:dyDescent="0.2">
      <c r="A327" s="15"/>
      <c r="C327" s="11"/>
    </row>
    <row r="328" spans="1:14" ht="15" customHeight="1" x14ac:dyDescent="0.2">
      <c r="C328" s="11"/>
      <c r="F328" s="3"/>
    </row>
    <row r="329" spans="1:14" ht="15" customHeight="1" x14ac:dyDescent="0.2">
      <c r="A329" s="15" t="s">
        <v>362</v>
      </c>
      <c r="N329" s="10" t="s">
        <v>387</v>
      </c>
    </row>
    <row r="330" spans="1:14" ht="15" hidden="1" customHeight="1" outlineLevel="1" x14ac:dyDescent="0.2"/>
    <row r="331" spans="1:14" ht="15" hidden="1" customHeight="1" outlineLevel="1" x14ac:dyDescent="0.2">
      <c r="A331" s="17" t="s">
        <v>59</v>
      </c>
      <c r="C331" s="18"/>
      <c r="N331" s="10" t="s">
        <v>367</v>
      </c>
    </row>
    <row r="332" spans="1:14" ht="15" hidden="1" customHeight="1" outlineLevel="1" x14ac:dyDescent="0.2">
      <c r="A332" s="16"/>
      <c r="B332" s="1" t="s">
        <v>127</v>
      </c>
      <c r="C332" s="1"/>
      <c r="D332" s="19"/>
      <c r="E332" s="2"/>
      <c r="F332" s="2"/>
      <c r="G332" s="2"/>
      <c r="H332" s="2"/>
      <c r="I332" s="2"/>
      <c r="J332" s="2"/>
      <c r="K332" s="2"/>
      <c r="L332" s="19"/>
      <c r="M332" s="1"/>
      <c r="N332" s="11"/>
    </row>
    <row r="333" spans="1:14" ht="15" hidden="1" customHeight="1" outlineLevel="1" x14ac:dyDescent="0.2">
      <c r="A333" s="16"/>
      <c r="C333" s="1" t="s">
        <v>3</v>
      </c>
      <c r="D333" s="19"/>
      <c r="E333" s="2">
        <f t="shared" ref="E333:J333" si="189">MAX(E335,E338)</f>
        <v>2</v>
      </c>
      <c r="F333" s="2">
        <f t="shared" si="189"/>
        <v>2</v>
      </c>
      <c r="G333" s="2">
        <f t="shared" si="189"/>
        <v>2</v>
      </c>
      <c r="H333" s="2">
        <f t="shared" si="189"/>
        <v>3</v>
      </c>
      <c r="I333" s="2">
        <f t="shared" si="189"/>
        <v>3</v>
      </c>
      <c r="J333" s="2">
        <f t="shared" si="189"/>
        <v>3</v>
      </c>
      <c r="K333" s="2">
        <f>MAX(K335,K338)</f>
        <v>3</v>
      </c>
      <c r="L333" s="19"/>
      <c r="M333" s="1"/>
      <c r="N333" s="11" t="s">
        <v>367</v>
      </c>
    </row>
    <row r="334" spans="1:14" ht="15" hidden="1" customHeight="1" outlineLevel="1" x14ac:dyDescent="0.2">
      <c r="A334" s="16"/>
      <c r="B334" s="1" t="s">
        <v>124</v>
      </c>
      <c r="C334" s="1"/>
      <c r="D334" s="19"/>
      <c r="E334" s="2"/>
      <c r="F334" s="2"/>
      <c r="G334" s="2"/>
      <c r="H334" s="2"/>
      <c r="I334" s="2"/>
      <c r="J334" s="2"/>
      <c r="K334" s="2"/>
      <c r="L334" s="19"/>
      <c r="M334" s="1"/>
      <c r="N334" s="11"/>
    </row>
    <row r="335" spans="1:14" ht="15" hidden="1" customHeight="1" outlineLevel="1" x14ac:dyDescent="0.2">
      <c r="A335" s="16"/>
      <c r="C335" s="1" t="s">
        <v>3</v>
      </c>
      <c r="D335" s="19"/>
      <c r="E335" s="2">
        <f t="shared" ref="E335:K335" si="190">IF(E336&gt;=0.5,3,IF(E336&gt;=0.3,2,1))</f>
        <v>2</v>
      </c>
      <c r="F335" s="2">
        <f t="shared" si="190"/>
        <v>2</v>
      </c>
      <c r="G335" s="2">
        <f t="shared" si="190"/>
        <v>2</v>
      </c>
      <c r="H335" s="2">
        <f>IF(H336&gt;=0.5,3,IF(H336&gt;=0.3,2,1))</f>
        <v>2</v>
      </c>
      <c r="I335" s="56">
        <f t="shared" si="190"/>
        <v>3</v>
      </c>
      <c r="J335" s="2">
        <f t="shared" si="190"/>
        <v>3</v>
      </c>
      <c r="K335" s="2">
        <f t="shared" si="190"/>
        <v>3</v>
      </c>
      <c r="L335" s="19"/>
      <c r="M335" s="1"/>
      <c r="N335" s="11" t="s">
        <v>367</v>
      </c>
    </row>
    <row r="336" spans="1:14" ht="15" hidden="1" customHeight="1" outlineLevel="1" x14ac:dyDescent="0.2">
      <c r="A336" s="16"/>
      <c r="C336" s="1" t="s">
        <v>125</v>
      </c>
      <c r="D336" s="19"/>
      <c r="E336" s="29">
        <f t="shared" ref="E336:J336" si="191">E454</f>
        <v>0.37276636937640073</v>
      </c>
      <c r="F336" s="29">
        <f t="shared" si="191"/>
        <v>0.37276636937640073</v>
      </c>
      <c r="G336" s="29">
        <f t="shared" si="191"/>
        <v>0.37276636937640073</v>
      </c>
      <c r="H336" s="29">
        <f t="shared" si="191"/>
        <v>0.37276636937640073</v>
      </c>
      <c r="I336" s="29">
        <f t="shared" si="191"/>
        <v>0.74553273875280146</v>
      </c>
      <c r="J336" s="29">
        <f t="shared" si="191"/>
        <v>0.74553273875280146</v>
      </c>
      <c r="K336" s="29">
        <f>K454</f>
        <v>0.62127728229400125</v>
      </c>
      <c r="L336" s="19"/>
      <c r="M336" s="21"/>
      <c r="N336" s="10" t="s">
        <v>368</v>
      </c>
    </row>
    <row r="337" spans="1:14" ht="15" hidden="1" customHeight="1" outlineLevel="1" x14ac:dyDescent="0.2">
      <c r="A337" s="16"/>
      <c r="B337" s="1" t="s">
        <v>126</v>
      </c>
      <c r="C337" s="1"/>
      <c r="D337" s="19"/>
      <c r="E337" s="2"/>
      <c r="F337" s="2"/>
      <c r="G337" s="2"/>
      <c r="H337" s="2"/>
      <c r="I337" s="2"/>
      <c r="J337" s="2"/>
      <c r="K337" s="2"/>
      <c r="L337" s="19"/>
      <c r="M337" s="1"/>
      <c r="N337" s="11"/>
    </row>
    <row r="338" spans="1:14" ht="15" hidden="1" customHeight="1" outlineLevel="1" x14ac:dyDescent="0.2">
      <c r="A338" s="16"/>
      <c r="C338" s="1" t="s">
        <v>3</v>
      </c>
      <c r="D338" s="19"/>
      <c r="E338" s="2">
        <f t="shared" ref="E338:K338" si="192">IF(E339&gt;=0.5,3,IF(E339&gt;=0.3,2,1))</f>
        <v>2</v>
      </c>
      <c r="F338" s="2">
        <f t="shared" si="192"/>
        <v>2</v>
      </c>
      <c r="G338" s="2">
        <f t="shared" si="192"/>
        <v>2</v>
      </c>
      <c r="H338" s="2">
        <f>IF(H339&gt;=0.5,3,IF(H339&gt;=0.3,2,1))</f>
        <v>3</v>
      </c>
      <c r="I338" s="2">
        <f t="shared" si="192"/>
        <v>2</v>
      </c>
      <c r="J338" s="2">
        <f t="shared" si="192"/>
        <v>2</v>
      </c>
      <c r="K338" s="2">
        <f t="shared" si="192"/>
        <v>2</v>
      </c>
      <c r="L338" s="19"/>
      <c r="M338" s="1"/>
      <c r="N338" s="11" t="s">
        <v>367</v>
      </c>
    </row>
    <row r="339" spans="1:14" ht="15" hidden="1" customHeight="1" outlineLevel="1" x14ac:dyDescent="0.2">
      <c r="A339" s="16"/>
      <c r="C339" s="1" t="s">
        <v>125</v>
      </c>
      <c r="D339" s="19"/>
      <c r="E339" s="29">
        <f t="shared" ref="E339:J339" si="193">E471</f>
        <v>0.40887811140973951</v>
      </c>
      <c r="F339" s="29">
        <f t="shared" si="193"/>
        <v>0.40887811140973951</v>
      </c>
      <c r="G339" s="29">
        <f t="shared" si="193"/>
        <v>0.40887811140973951</v>
      </c>
      <c r="H339" s="29">
        <f t="shared" si="193"/>
        <v>1.0221952785243489</v>
      </c>
      <c r="I339" s="29">
        <f t="shared" si="193"/>
        <v>0.41644992828769772</v>
      </c>
      <c r="J339" s="29">
        <f t="shared" si="193"/>
        <v>0.41644992828769772</v>
      </c>
      <c r="K339" s="29">
        <f>K471</f>
        <v>0.47005839178364134</v>
      </c>
      <c r="L339" s="19"/>
      <c r="M339" s="21"/>
      <c r="N339" s="10" t="s">
        <v>368</v>
      </c>
    </row>
    <row r="340" spans="1:14" ht="15" hidden="1" customHeight="1" outlineLevel="1" x14ac:dyDescent="0.2">
      <c r="C340" s="11"/>
    </row>
    <row r="341" spans="1:14" ht="15" hidden="1" customHeight="1" outlineLevel="1" x14ac:dyDescent="0.2">
      <c r="A341" s="17" t="s">
        <v>139</v>
      </c>
      <c r="C341" s="18"/>
      <c r="N341" s="10" t="s">
        <v>388</v>
      </c>
    </row>
    <row r="342" spans="1:14" ht="15" hidden="1" customHeight="1" outlineLevel="1" x14ac:dyDescent="0.2">
      <c r="A342" s="16"/>
      <c r="B342" s="10" t="s">
        <v>137</v>
      </c>
      <c r="C342" s="11"/>
      <c r="E342" s="3">
        <f t="shared" ref="E342:K342" si="194">MIN(E343,E347)</f>
        <v>1070.0625</v>
      </c>
      <c r="F342" s="3">
        <f t="shared" si="194"/>
        <v>1000.959375</v>
      </c>
      <c r="G342" s="3">
        <f t="shared" si="194"/>
        <v>652.64671874999999</v>
      </c>
      <c r="H342" s="3">
        <f t="shared" si="194"/>
        <v>822.9</v>
      </c>
      <c r="I342" s="3">
        <f t="shared" si="194"/>
        <v>779.390625</v>
      </c>
      <c r="J342" s="3">
        <f t="shared" si="194"/>
        <v>541.72523437500001</v>
      </c>
      <c r="K342" s="3">
        <f t="shared" si="194"/>
        <v>1464.17578125</v>
      </c>
      <c r="M342" s="10" t="s">
        <v>6</v>
      </c>
      <c r="N342" s="10" t="s">
        <v>388</v>
      </c>
    </row>
    <row r="343" spans="1:14" ht="15" hidden="1" customHeight="1" outlineLevel="1" x14ac:dyDescent="0.2">
      <c r="A343" s="16"/>
      <c r="B343" s="10" t="s">
        <v>128</v>
      </c>
      <c r="C343" s="11"/>
      <c r="E343" s="3">
        <f t="shared" ref="E343:K343" si="195">E344*E345*E346/10^6</f>
        <v>1185.3</v>
      </c>
      <c r="F343" s="3">
        <f t="shared" si="195"/>
        <v>1108.7550000000001</v>
      </c>
      <c r="G343" s="3">
        <f t="shared" si="195"/>
        <v>722.93174999999997</v>
      </c>
      <c r="H343" s="3">
        <f t="shared" si="195"/>
        <v>911.52</v>
      </c>
      <c r="I343" s="3">
        <f t="shared" si="195"/>
        <v>863.32500000000005</v>
      </c>
      <c r="J343" s="3">
        <f t="shared" si="195"/>
        <v>600.06487500000003</v>
      </c>
      <c r="K343" s="3">
        <f t="shared" si="195"/>
        <v>1621.85625</v>
      </c>
      <c r="M343" s="10" t="s">
        <v>6</v>
      </c>
      <c r="N343" s="10" t="s">
        <v>389</v>
      </c>
    </row>
    <row r="344" spans="1:14" ht="15" hidden="1" customHeight="1" outlineLevel="1" x14ac:dyDescent="0.2">
      <c r="A344" s="16"/>
      <c r="C344" s="11" t="s">
        <v>37</v>
      </c>
      <c r="E344" s="4">
        <v>0.9</v>
      </c>
      <c r="F344" s="4">
        <v>0.9</v>
      </c>
      <c r="G344" s="4">
        <v>0.9</v>
      </c>
      <c r="H344" s="4">
        <v>0.9</v>
      </c>
      <c r="I344" s="4">
        <v>0.9</v>
      </c>
      <c r="J344" s="4">
        <v>0.9</v>
      </c>
      <c r="K344" s="4">
        <v>0.9</v>
      </c>
      <c r="N344" s="10" t="s">
        <v>390</v>
      </c>
    </row>
    <row r="345" spans="1:14" ht="15" hidden="1" customHeight="1" outlineLevel="1" x14ac:dyDescent="0.2">
      <c r="A345" s="16"/>
      <c r="C345" s="11" t="s">
        <v>53</v>
      </c>
      <c r="D345" s="9"/>
      <c r="E345" s="30">
        <f t="shared" ref="E345:K345" si="196">E169</f>
        <v>5487500</v>
      </c>
      <c r="F345" s="30">
        <f t="shared" si="196"/>
        <v>5133125</v>
      </c>
      <c r="G345" s="30">
        <f t="shared" si="196"/>
        <v>3346906.25</v>
      </c>
      <c r="H345" s="30">
        <f t="shared" si="196"/>
        <v>4220000</v>
      </c>
      <c r="I345" s="30">
        <f t="shared" si="196"/>
        <v>3996875</v>
      </c>
      <c r="J345" s="30">
        <f t="shared" si="196"/>
        <v>2778078.125</v>
      </c>
      <c r="K345" s="30">
        <f t="shared" si="196"/>
        <v>7508593.75</v>
      </c>
      <c r="L345" s="9"/>
      <c r="M345" s="10" t="s">
        <v>214</v>
      </c>
    </row>
    <row r="346" spans="1:14" ht="15" hidden="1" customHeight="1" outlineLevel="1" x14ac:dyDescent="0.2">
      <c r="A346" s="16"/>
      <c r="C346" s="11" t="s">
        <v>35</v>
      </c>
      <c r="E346" s="3">
        <f t="shared" ref="E346:K346" si="197">E22</f>
        <v>240</v>
      </c>
      <c r="F346" s="3">
        <f t="shared" si="197"/>
        <v>240</v>
      </c>
      <c r="G346" s="3">
        <f t="shared" si="197"/>
        <v>240</v>
      </c>
      <c r="H346" s="3">
        <f t="shared" si="197"/>
        <v>240</v>
      </c>
      <c r="I346" s="3">
        <f t="shared" si="197"/>
        <v>240</v>
      </c>
      <c r="J346" s="3">
        <f t="shared" si="197"/>
        <v>240</v>
      </c>
      <c r="K346" s="3">
        <f t="shared" si="197"/>
        <v>240</v>
      </c>
      <c r="M346" s="10" t="s">
        <v>8</v>
      </c>
      <c r="N346" s="10" t="s">
        <v>371</v>
      </c>
    </row>
    <row r="347" spans="1:14" ht="15" hidden="1" customHeight="1" outlineLevel="1" x14ac:dyDescent="0.2">
      <c r="A347" s="16"/>
      <c r="B347" s="10" t="s">
        <v>129</v>
      </c>
      <c r="C347" s="11"/>
      <c r="E347" s="3">
        <f t="shared" ref="E347:K347" si="198">E348*E349*E350/10^6</f>
        <v>1070.0625</v>
      </c>
      <c r="F347" s="3">
        <f t="shared" si="198"/>
        <v>1000.959375</v>
      </c>
      <c r="G347" s="3">
        <f t="shared" si="198"/>
        <v>652.64671874999999</v>
      </c>
      <c r="H347" s="3">
        <f t="shared" si="198"/>
        <v>822.9</v>
      </c>
      <c r="I347" s="3">
        <f t="shared" si="198"/>
        <v>779.390625</v>
      </c>
      <c r="J347" s="3">
        <f t="shared" si="198"/>
        <v>541.72523437500001</v>
      </c>
      <c r="K347" s="3">
        <f t="shared" si="198"/>
        <v>1464.17578125</v>
      </c>
      <c r="M347" s="10" t="s">
        <v>6</v>
      </c>
      <c r="N347" s="10" t="s">
        <v>391</v>
      </c>
    </row>
    <row r="348" spans="1:14" ht="15" hidden="1" customHeight="1" outlineLevel="1" x14ac:dyDescent="0.2">
      <c r="A348" s="16"/>
      <c r="C348" s="11" t="s">
        <v>132</v>
      </c>
      <c r="E348" s="4">
        <v>0.75</v>
      </c>
      <c r="F348" s="4">
        <v>0.75</v>
      </c>
      <c r="G348" s="4">
        <v>0.75</v>
      </c>
      <c r="H348" s="4">
        <v>0.75</v>
      </c>
      <c r="I348" s="4">
        <v>0.75</v>
      </c>
      <c r="J348" s="4">
        <v>0.75</v>
      </c>
      <c r="K348" s="4">
        <v>0.75</v>
      </c>
      <c r="N348" s="10" t="s">
        <v>392</v>
      </c>
    </row>
    <row r="349" spans="1:14" ht="15" hidden="1" customHeight="1" outlineLevel="1" x14ac:dyDescent="0.2">
      <c r="A349" s="16"/>
      <c r="C349" s="11" t="s">
        <v>130</v>
      </c>
      <c r="D349" s="9"/>
      <c r="E349" s="30">
        <f t="shared" ref="E349:K349" si="199">E169</f>
        <v>5487500</v>
      </c>
      <c r="F349" s="30">
        <f t="shared" si="199"/>
        <v>5133125</v>
      </c>
      <c r="G349" s="30">
        <f t="shared" si="199"/>
        <v>3346906.25</v>
      </c>
      <c r="H349" s="30">
        <f t="shared" si="199"/>
        <v>4220000</v>
      </c>
      <c r="I349" s="30">
        <f t="shared" si="199"/>
        <v>3996875</v>
      </c>
      <c r="J349" s="30">
        <f t="shared" si="199"/>
        <v>2778078.125</v>
      </c>
      <c r="K349" s="30">
        <f t="shared" si="199"/>
        <v>7508593.75</v>
      </c>
      <c r="L349" s="9"/>
      <c r="M349" s="10" t="s">
        <v>214</v>
      </c>
    </row>
    <row r="350" spans="1:14" ht="15" hidden="1" customHeight="1" outlineLevel="1" x14ac:dyDescent="0.2">
      <c r="A350" s="16"/>
      <c r="C350" s="11" t="s">
        <v>131</v>
      </c>
      <c r="E350" s="3">
        <f t="shared" ref="E350:K350" si="200">E23</f>
        <v>260</v>
      </c>
      <c r="F350" s="3">
        <f t="shared" si="200"/>
        <v>260</v>
      </c>
      <c r="G350" s="3">
        <f t="shared" si="200"/>
        <v>260</v>
      </c>
      <c r="H350" s="3">
        <f t="shared" si="200"/>
        <v>260</v>
      </c>
      <c r="I350" s="3">
        <f t="shared" si="200"/>
        <v>260</v>
      </c>
      <c r="J350" s="3">
        <f t="shared" si="200"/>
        <v>260</v>
      </c>
      <c r="K350" s="3">
        <f t="shared" si="200"/>
        <v>260</v>
      </c>
      <c r="M350" s="10" t="s">
        <v>8</v>
      </c>
      <c r="N350" s="10" t="s">
        <v>371</v>
      </c>
    </row>
    <row r="351" spans="1:14" ht="15" hidden="1" customHeight="1" outlineLevel="1" x14ac:dyDescent="0.2">
      <c r="C351" s="11"/>
    </row>
    <row r="352" spans="1:14" ht="15" hidden="1" customHeight="1" outlineLevel="1" x14ac:dyDescent="0.2">
      <c r="A352" s="17" t="s">
        <v>140</v>
      </c>
      <c r="C352" s="18"/>
      <c r="N352" s="10" t="s">
        <v>393</v>
      </c>
    </row>
    <row r="353" spans="1:14" ht="15" hidden="1" customHeight="1" outlineLevel="1" x14ac:dyDescent="0.2">
      <c r="A353" s="16"/>
      <c r="B353" s="10" t="s">
        <v>138</v>
      </c>
      <c r="C353" s="11"/>
      <c r="E353" s="3">
        <f t="shared" ref="E353:K353" si="201">MIN(E354,E358)</f>
        <v>889.91964285714278</v>
      </c>
      <c r="F353" s="3">
        <f t="shared" si="201"/>
        <v>864.48803174603165</v>
      </c>
      <c r="G353" s="3">
        <f t="shared" si="201"/>
        <v>514.9966219625851</v>
      </c>
      <c r="H353" s="3">
        <f t="shared" si="201"/>
        <v>738.30287644122882</v>
      </c>
      <c r="I353" s="3">
        <f t="shared" si="201"/>
        <v>614.78683035714278</v>
      </c>
      <c r="J353" s="3">
        <f t="shared" si="201"/>
        <v>391.25159771234632</v>
      </c>
      <c r="K353" s="3">
        <f t="shared" si="201"/>
        <v>1446.6797461626352</v>
      </c>
      <c r="M353" s="10" t="s">
        <v>6</v>
      </c>
      <c r="N353" s="10" t="s">
        <v>393</v>
      </c>
    </row>
    <row r="354" spans="1:14" ht="15" hidden="1" customHeight="1" outlineLevel="1" x14ac:dyDescent="0.2">
      <c r="A354" s="16"/>
      <c r="B354" s="10" t="s">
        <v>134</v>
      </c>
      <c r="C354" s="11"/>
      <c r="E354" s="3">
        <f t="shared" ref="E354:K354" si="202">E355*E356*E357/10^6</f>
        <v>985.75714285714275</v>
      </c>
      <c r="F354" s="3">
        <f t="shared" si="202"/>
        <v>957.58674285714278</v>
      </c>
      <c r="G354" s="3">
        <f t="shared" si="202"/>
        <v>570.45779663547899</v>
      </c>
      <c r="H354" s="3">
        <f t="shared" si="202"/>
        <v>795.60051690299997</v>
      </c>
      <c r="I354" s="3">
        <f t="shared" si="202"/>
        <v>680.99464285714282</v>
      </c>
      <c r="J354" s="3">
        <f t="shared" si="202"/>
        <v>433.38638515829132</v>
      </c>
      <c r="K354" s="3">
        <f t="shared" si="202"/>
        <v>1602.4760265186114</v>
      </c>
      <c r="M354" s="10" t="s">
        <v>6</v>
      </c>
      <c r="N354" s="10" t="s">
        <v>394</v>
      </c>
    </row>
    <row r="355" spans="1:14" ht="15" hidden="1" customHeight="1" outlineLevel="1" x14ac:dyDescent="0.2">
      <c r="A355" s="16"/>
      <c r="C355" s="11" t="s">
        <v>37</v>
      </c>
      <c r="E355" s="4">
        <v>0.9</v>
      </c>
      <c r="F355" s="4">
        <v>0.9</v>
      </c>
      <c r="G355" s="4">
        <v>0.9</v>
      </c>
      <c r="H355" s="4">
        <v>0.9</v>
      </c>
      <c r="I355" s="4">
        <v>0.9</v>
      </c>
      <c r="J355" s="4">
        <v>0.9</v>
      </c>
      <c r="K355" s="4">
        <v>0.9</v>
      </c>
      <c r="N355" s="10" t="s">
        <v>390</v>
      </c>
    </row>
    <row r="356" spans="1:14" ht="15" hidden="1" customHeight="1" outlineLevel="1" x14ac:dyDescent="0.2">
      <c r="A356" s="16"/>
      <c r="C356" s="11" t="s">
        <v>76</v>
      </c>
      <c r="D356" s="9"/>
      <c r="E356" s="30">
        <f t="shared" ref="E356:J356" si="203">E259</f>
        <v>4563690.4761904757</v>
      </c>
      <c r="F356" s="30">
        <f t="shared" si="203"/>
        <v>4433271.9576719571</v>
      </c>
      <c r="G356" s="30">
        <f t="shared" si="203"/>
        <v>2641008.3177568475</v>
      </c>
      <c r="H356" s="30">
        <f t="shared" si="203"/>
        <v>3683335.7264027777</v>
      </c>
      <c r="I356" s="30">
        <f t="shared" si="203"/>
        <v>3152752.9761904757</v>
      </c>
      <c r="J356" s="30">
        <f t="shared" si="203"/>
        <v>2006418.4498069042</v>
      </c>
      <c r="K356" s="30">
        <f>K259</f>
        <v>7418870.4931417201</v>
      </c>
      <c r="L356" s="9"/>
      <c r="M356" s="10" t="s">
        <v>214</v>
      </c>
    </row>
    <row r="357" spans="1:14" ht="15" hidden="1" customHeight="1" outlineLevel="1" x14ac:dyDescent="0.2">
      <c r="A357" s="16"/>
      <c r="C357" s="11" t="s">
        <v>35</v>
      </c>
      <c r="E357" s="3">
        <f t="shared" ref="E357:K357" si="204">E22</f>
        <v>240</v>
      </c>
      <c r="F357" s="3">
        <f t="shared" si="204"/>
        <v>240</v>
      </c>
      <c r="G357" s="3">
        <f t="shared" si="204"/>
        <v>240</v>
      </c>
      <c r="H357" s="3">
        <f t="shared" si="204"/>
        <v>240</v>
      </c>
      <c r="I357" s="3">
        <f t="shared" si="204"/>
        <v>240</v>
      </c>
      <c r="J357" s="3">
        <f t="shared" si="204"/>
        <v>240</v>
      </c>
      <c r="K357" s="3">
        <f t="shared" si="204"/>
        <v>240</v>
      </c>
      <c r="M357" s="10" t="s">
        <v>8</v>
      </c>
      <c r="N357" s="10" t="s">
        <v>371</v>
      </c>
    </row>
    <row r="358" spans="1:14" ht="15" hidden="1" customHeight="1" outlineLevel="1" x14ac:dyDescent="0.2">
      <c r="A358" s="16"/>
      <c r="B358" s="10" t="s">
        <v>135</v>
      </c>
      <c r="C358" s="11"/>
      <c r="E358" s="3">
        <f t="shared" ref="E358:K358" si="205">E359*E360*E361/10^6</f>
        <v>889.91964285714278</v>
      </c>
      <c r="F358" s="3">
        <f t="shared" si="205"/>
        <v>864.48803174603165</v>
      </c>
      <c r="G358" s="3">
        <f t="shared" si="205"/>
        <v>514.9966219625851</v>
      </c>
      <c r="H358" s="3">
        <f t="shared" si="205"/>
        <v>738.30287644122882</v>
      </c>
      <c r="I358" s="3">
        <f t="shared" si="205"/>
        <v>614.78683035714278</v>
      </c>
      <c r="J358" s="3">
        <f t="shared" si="205"/>
        <v>391.25159771234632</v>
      </c>
      <c r="K358" s="3">
        <f t="shared" si="205"/>
        <v>1446.6797461626352</v>
      </c>
      <c r="M358" s="10" t="s">
        <v>6</v>
      </c>
      <c r="N358" s="10" t="s">
        <v>395</v>
      </c>
    </row>
    <row r="359" spans="1:14" ht="15" hidden="1" customHeight="1" outlineLevel="1" x14ac:dyDescent="0.2">
      <c r="A359" s="16"/>
      <c r="C359" s="11" t="s">
        <v>132</v>
      </c>
      <c r="E359" s="4">
        <v>0.75</v>
      </c>
      <c r="F359" s="4">
        <v>0.75</v>
      </c>
      <c r="G359" s="4">
        <v>0.75</v>
      </c>
      <c r="H359" s="4">
        <v>0.75</v>
      </c>
      <c r="I359" s="4">
        <v>0.75</v>
      </c>
      <c r="J359" s="4">
        <v>0.75</v>
      </c>
      <c r="K359" s="4">
        <v>0.75</v>
      </c>
      <c r="N359" s="10" t="s">
        <v>392</v>
      </c>
    </row>
    <row r="360" spans="1:14" ht="15" hidden="1" customHeight="1" outlineLevel="1" x14ac:dyDescent="0.2">
      <c r="A360" s="16"/>
      <c r="C360" s="11" t="s">
        <v>136</v>
      </c>
      <c r="D360" s="9"/>
      <c r="E360" s="30">
        <f t="shared" ref="E360:J360" si="206">E258</f>
        <v>4563690.4761904757</v>
      </c>
      <c r="F360" s="30">
        <f t="shared" si="206"/>
        <v>4433271.9576719571</v>
      </c>
      <c r="G360" s="30">
        <f t="shared" si="206"/>
        <v>2641008.3177568465</v>
      </c>
      <c r="H360" s="30">
        <f t="shared" si="206"/>
        <v>3786168.5971345073</v>
      </c>
      <c r="I360" s="30">
        <f t="shared" si="206"/>
        <v>3152752.9761904757</v>
      </c>
      <c r="J360" s="30">
        <f t="shared" si="206"/>
        <v>2006418.4498069042</v>
      </c>
      <c r="K360" s="30">
        <f>K258</f>
        <v>7418870.4931417182</v>
      </c>
      <c r="L360" s="9"/>
      <c r="M360" s="10" t="s">
        <v>214</v>
      </c>
    </row>
    <row r="361" spans="1:14" ht="15" hidden="1" customHeight="1" outlineLevel="1" x14ac:dyDescent="0.2">
      <c r="A361" s="16"/>
      <c r="C361" s="11" t="s">
        <v>131</v>
      </c>
      <c r="E361" s="3">
        <f t="shared" ref="E361:K361" si="207">E23</f>
        <v>260</v>
      </c>
      <c r="F361" s="3">
        <f t="shared" si="207"/>
        <v>260</v>
      </c>
      <c r="G361" s="3">
        <f t="shared" si="207"/>
        <v>260</v>
      </c>
      <c r="H361" s="3">
        <f t="shared" si="207"/>
        <v>260</v>
      </c>
      <c r="I361" s="3">
        <f t="shared" si="207"/>
        <v>260</v>
      </c>
      <c r="J361" s="3">
        <f t="shared" si="207"/>
        <v>260</v>
      </c>
      <c r="K361" s="3">
        <f t="shared" si="207"/>
        <v>260</v>
      </c>
      <c r="M361" s="10" t="s">
        <v>8</v>
      </c>
      <c r="N361" s="10" t="s">
        <v>371</v>
      </c>
    </row>
    <row r="362" spans="1:14" ht="15" hidden="1" customHeight="1" outlineLevel="1" x14ac:dyDescent="0.2">
      <c r="C362" s="11"/>
    </row>
    <row r="363" spans="1:14" ht="15" hidden="1" customHeight="1" outlineLevel="1" x14ac:dyDescent="0.2">
      <c r="A363" s="17" t="s">
        <v>315</v>
      </c>
      <c r="C363" s="18"/>
      <c r="N363" s="10" t="s">
        <v>396</v>
      </c>
    </row>
    <row r="364" spans="1:14" ht="15" hidden="1" customHeight="1" outlineLevel="1" x14ac:dyDescent="0.2">
      <c r="A364" s="16"/>
      <c r="B364" s="10" t="s">
        <v>143</v>
      </c>
      <c r="C364" s="11"/>
      <c r="E364" s="3">
        <f t="shared" ref="E364:K364" si="208">MIN(E365,E370)</f>
        <v>889.91964285714278</v>
      </c>
      <c r="F364" s="3">
        <f t="shared" si="208"/>
        <v>864.48803174603165</v>
      </c>
      <c r="G364" s="3">
        <f t="shared" si="208"/>
        <v>514.9966219625851</v>
      </c>
      <c r="H364" s="3">
        <f t="shared" si="208"/>
        <v>738.30287644122882</v>
      </c>
      <c r="I364" s="3">
        <f t="shared" si="208"/>
        <v>614.78683035714278</v>
      </c>
      <c r="J364" s="3">
        <f t="shared" si="208"/>
        <v>365.73378528043241</v>
      </c>
      <c r="K364" s="3">
        <f t="shared" si="208"/>
        <v>1446.6797461626352</v>
      </c>
      <c r="M364" s="10" t="s">
        <v>6</v>
      </c>
      <c r="N364" s="10" t="s">
        <v>396</v>
      </c>
    </row>
    <row r="365" spans="1:14" ht="15" hidden="1" customHeight="1" outlineLevel="1" x14ac:dyDescent="0.2">
      <c r="A365" s="16"/>
      <c r="B365" s="10" t="s">
        <v>141</v>
      </c>
      <c r="C365" s="11"/>
      <c r="E365" s="3">
        <f t="shared" ref="E365:K365" si="209">E366*E367*E368*E369/10^6</f>
        <v>985.75714285714275</v>
      </c>
      <c r="F365" s="3">
        <f t="shared" si="209"/>
        <v>957.58674285714278</v>
      </c>
      <c r="G365" s="3">
        <f t="shared" si="209"/>
        <v>570.45779663547899</v>
      </c>
      <c r="H365" s="3">
        <f t="shared" si="209"/>
        <v>795.60051690299997</v>
      </c>
      <c r="I365" s="57">
        <f t="shared" si="209"/>
        <v>619.46585408735166</v>
      </c>
      <c r="J365" s="3">
        <f t="shared" si="209"/>
        <v>365.73378528043241</v>
      </c>
      <c r="K365" s="3">
        <f t="shared" si="209"/>
        <v>1489.7598158169258</v>
      </c>
      <c r="M365" s="10" t="s">
        <v>6</v>
      </c>
      <c r="N365" s="10" t="s">
        <v>397</v>
      </c>
    </row>
    <row r="366" spans="1:14" ht="15" hidden="1" customHeight="1" outlineLevel="1" x14ac:dyDescent="0.2">
      <c r="A366" s="16"/>
      <c r="C366" s="11" t="s">
        <v>37</v>
      </c>
      <c r="E366" s="4">
        <v>0.9</v>
      </c>
      <c r="F366" s="4">
        <v>0.9</v>
      </c>
      <c r="G366" s="4">
        <v>0.9</v>
      </c>
      <c r="H366" s="4">
        <v>0.9</v>
      </c>
      <c r="I366" s="4">
        <v>0.9</v>
      </c>
      <c r="J366" s="4">
        <v>0.9</v>
      </c>
      <c r="K366" s="4">
        <v>0.9</v>
      </c>
      <c r="N366" s="10" t="s">
        <v>390</v>
      </c>
    </row>
    <row r="367" spans="1:14" ht="15" hidden="1" customHeight="1" outlineLevel="1" x14ac:dyDescent="0.2">
      <c r="A367" s="16"/>
      <c r="C367" s="11" t="s">
        <v>76</v>
      </c>
      <c r="D367" s="9"/>
      <c r="E367" s="30">
        <f t="shared" ref="E367:K367" si="210">E259</f>
        <v>4563690.4761904757</v>
      </c>
      <c r="F367" s="30">
        <f t="shared" si="210"/>
        <v>4433271.9576719571</v>
      </c>
      <c r="G367" s="30">
        <f t="shared" si="210"/>
        <v>2641008.3177568475</v>
      </c>
      <c r="H367" s="30">
        <f t="shared" si="210"/>
        <v>3683335.7264027777</v>
      </c>
      <c r="I367" s="30">
        <f t="shared" si="210"/>
        <v>3152752.9761904757</v>
      </c>
      <c r="J367" s="30">
        <f t="shared" si="210"/>
        <v>2006418.4498069042</v>
      </c>
      <c r="K367" s="30">
        <f t="shared" si="210"/>
        <v>7418870.4931417201</v>
      </c>
      <c r="L367" s="9"/>
      <c r="M367" s="10" t="s">
        <v>214</v>
      </c>
    </row>
    <row r="368" spans="1:14" ht="15" hidden="1" customHeight="1" outlineLevel="1" x14ac:dyDescent="0.2">
      <c r="A368" s="16"/>
      <c r="C368" s="11" t="s">
        <v>142</v>
      </c>
      <c r="E368" s="6">
        <f t="shared" ref="E368:K368" si="211">E450</f>
        <v>1</v>
      </c>
      <c r="F368" s="6">
        <f t="shared" si="211"/>
        <v>1</v>
      </c>
      <c r="G368" s="6">
        <f t="shared" si="211"/>
        <v>1</v>
      </c>
      <c r="H368" s="6">
        <f t="shared" si="211"/>
        <v>1</v>
      </c>
      <c r="I368" s="6">
        <f t="shared" si="211"/>
        <v>0.90964864494139863</v>
      </c>
      <c r="J368" s="6">
        <f t="shared" si="211"/>
        <v>0.84389772684448949</v>
      </c>
      <c r="K368" s="6">
        <f t="shared" si="211"/>
        <v>0.92966121874124863</v>
      </c>
      <c r="N368" s="10" t="s">
        <v>396</v>
      </c>
    </row>
    <row r="369" spans="1:14" ht="15" hidden="1" customHeight="1" outlineLevel="1" x14ac:dyDescent="0.2">
      <c r="A369" s="16"/>
      <c r="C369" s="11" t="s">
        <v>35</v>
      </c>
      <c r="E369" s="3">
        <f t="shared" ref="E369:K369" si="212">E22</f>
        <v>240</v>
      </c>
      <c r="F369" s="3">
        <f t="shared" si="212"/>
        <v>240</v>
      </c>
      <c r="G369" s="3">
        <f t="shared" si="212"/>
        <v>240</v>
      </c>
      <c r="H369" s="3">
        <f t="shared" si="212"/>
        <v>240</v>
      </c>
      <c r="I369" s="3">
        <f t="shared" si="212"/>
        <v>240</v>
      </c>
      <c r="J369" s="3">
        <f t="shared" si="212"/>
        <v>240</v>
      </c>
      <c r="K369" s="3">
        <f t="shared" si="212"/>
        <v>240</v>
      </c>
      <c r="M369" s="10" t="s">
        <v>8</v>
      </c>
      <c r="N369" s="10" t="s">
        <v>371</v>
      </c>
    </row>
    <row r="370" spans="1:14" ht="15" hidden="1" customHeight="1" outlineLevel="1" x14ac:dyDescent="0.2">
      <c r="A370" s="16"/>
      <c r="B370" s="10" t="s">
        <v>135</v>
      </c>
      <c r="C370" s="11"/>
      <c r="E370" s="3">
        <f t="shared" ref="E370:K370" si="213">E371*E372*E373/10^6</f>
        <v>889.91964285714278</v>
      </c>
      <c r="F370" s="3">
        <f t="shared" si="213"/>
        <v>864.48803174603165</v>
      </c>
      <c r="G370" s="3">
        <f t="shared" si="213"/>
        <v>514.9966219625851</v>
      </c>
      <c r="H370" s="3">
        <f t="shared" si="213"/>
        <v>738.30287644122882</v>
      </c>
      <c r="I370" s="3">
        <f t="shared" si="213"/>
        <v>614.78683035714278</v>
      </c>
      <c r="J370" s="3">
        <f t="shared" si="213"/>
        <v>391.25159771234632</v>
      </c>
      <c r="K370" s="3">
        <f t="shared" si="213"/>
        <v>1446.6797461626352</v>
      </c>
      <c r="M370" s="10" t="s">
        <v>6</v>
      </c>
      <c r="N370" s="10" t="s">
        <v>395</v>
      </c>
    </row>
    <row r="371" spans="1:14" ht="15" hidden="1" customHeight="1" outlineLevel="1" x14ac:dyDescent="0.2">
      <c r="A371" s="16"/>
      <c r="C371" s="11" t="s">
        <v>132</v>
      </c>
      <c r="E371" s="4">
        <v>0.75</v>
      </c>
      <c r="F371" s="4">
        <v>0.75</v>
      </c>
      <c r="G371" s="4">
        <v>0.75</v>
      </c>
      <c r="H371" s="4">
        <v>0.75</v>
      </c>
      <c r="I371" s="4">
        <v>0.75</v>
      </c>
      <c r="J371" s="4">
        <v>0.75</v>
      </c>
      <c r="K371" s="4">
        <v>0.75</v>
      </c>
      <c r="N371" s="10" t="s">
        <v>392</v>
      </c>
    </row>
    <row r="372" spans="1:14" ht="15" hidden="1" customHeight="1" outlineLevel="1" x14ac:dyDescent="0.2">
      <c r="A372" s="16"/>
      <c r="C372" s="11" t="s">
        <v>136</v>
      </c>
      <c r="D372" s="9"/>
      <c r="E372" s="30">
        <f t="shared" ref="E372:K372" si="214">E258</f>
        <v>4563690.4761904757</v>
      </c>
      <c r="F372" s="30">
        <f t="shared" si="214"/>
        <v>4433271.9576719571</v>
      </c>
      <c r="G372" s="30">
        <f t="shared" si="214"/>
        <v>2641008.3177568465</v>
      </c>
      <c r="H372" s="30">
        <f t="shared" si="214"/>
        <v>3786168.5971345073</v>
      </c>
      <c r="I372" s="30">
        <f t="shared" si="214"/>
        <v>3152752.9761904757</v>
      </c>
      <c r="J372" s="30">
        <f t="shared" si="214"/>
        <v>2006418.4498069042</v>
      </c>
      <c r="K372" s="30">
        <f t="shared" si="214"/>
        <v>7418870.4931417182</v>
      </c>
      <c r="L372" s="9"/>
      <c r="M372" s="10" t="s">
        <v>214</v>
      </c>
    </row>
    <row r="373" spans="1:14" ht="15" hidden="1" customHeight="1" outlineLevel="1" x14ac:dyDescent="0.2">
      <c r="A373" s="16"/>
      <c r="C373" s="11" t="s">
        <v>131</v>
      </c>
      <c r="E373" s="3">
        <f t="shared" ref="E373:K373" si="215">E23</f>
        <v>260</v>
      </c>
      <c r="F373" s="3">
        <f t="shared" si="215"/>
        <v>260</v>
      </c>
      <c r="G373" s="3">
        <f t="shared" si="215"/>
        <v>260</v>
      </c>
      <c r="H373" s="3">
        <f t="shared" si="215"/>
        <v>260</v>
      </c>
      <c r="I373" s="3">
        <f t="shared" si="215"/>
        <v>260</v>
      </c>
      <c r="J373" s="3">
        <f t="shared" si="215"/>
        <v>260</v>
      </c>
      <c r="K373" s="3">
        <f t="shared" si="215"/>
        <v>260</v>
      </c>
      <c r="M373" s="10" t="s">
        <v>8</v>
      </c>
      <c r="N373" s="10" t="s">
        <v>371</v>
      </c>
    </row>
    <row r="374" spans="1:14" ht="15" hidden="1" customHeight="1" outlineLevel="1" x14ac:dyDescent="0.2">
      <c r="C374" s="11"/>
    </row>
    <row r="375" spans="1:14" ht="15" hidden="1" customHeight="1" outlineLevel="1" x14ac:dyDescent="0.2">
      <c r="A375" s="31" t="s">
        <v>314</v>
      </c>
      <c r="B375" s="11"/>
      <c r="C375" s="18"/>
      <c r="N375" s="10" t="s">
        <v>396</v>
      </c>
    </row>
    <row r="376" spans="1:14" ht="15" hidden="1" customHeight="1" outlineLevel="1" x14ac:dyDescent="0.2">
      <c r="A376" s="16"/>
      <c r="B376" s="10" t="s">
        <v>144</v>
      </c>
      <c r="C376" s="11"/>
      <c r="E376" s="3">
        <f t="shared" ref="E376:K376" si="216">MIN(E377,E381)</f>
        <v>889.91964285714278</v>
      </c>
      <c r="F376" s="3">
        <f t="shared" si="216"/>
        <v>864.48803174603165</v>
      </c>
      <c r="G376" s="3">
        <f t="shared" si="216"/>
        <v>514.9966219625851</v>
      </c>
      <c r="H376" s="3">
        <f t="shared" si="216"/>
        <v>738.30287644122882</v>
      </c>
      <c r="I376" s="3">
        <f t="shared" si="216"/>
        <v>614.78683035714278</v>
      </c>
      <c r="J376" s="3">
        <f t="shared" si="216"/>
        <v>391.25159771234632</v>
      </c>
      <c r="K376" s="3">
        <f t="shared" si="216"/>
        <v>1446.6797461626352</v>
      </c>
      <c r="M376" s="10" t="s">
        <v>6</v>
      </c>
      <c r="N376" s="10" t="s">
        <v>396</v>
      </c>
    </row>
    <row r="377" spans="1:14" ht="15" hidden="1" customHeight="1" outlineLevel="1" x14ac:dyDescent="0.2">
      <c r="A377" s="16"/>
      <c r="B377" s="10" t="s">
        <v>348</v>
      </c>
      <c r="C377" s="11"/>
      <c r="E377" s="3">
        <f t="shared" ref="E377:K377" si="217">E378*E379*E380/10^6</f>
        <v>985.75714285714275</v>
      </c>
      <c r="F377" s="3">
        <f t="shared" si="217"/>
        <v>957.58674285714278</v>
      </c>
      <c r="G377" s="3">
        <f t="shared" si="217"/>
        <v>570.45779663547899</v>
      </c>
      <c r="H377" s="3">
        <f t="shared" si="217"/>
        <v>795.60051690299997</v>
      </c>
      <c r="I377" s="3">
        <f t="shared" si="217"/>
        <v>680.99464285714282</v>
      </c>
      <c r="J377" s="3">
        <f t="shared" si="217"/>
        <v>433.38638515829132</v>
      </c>
      <c r="K377" s="3">
        <f t="shared" si="217"/>
        <v>1602.4760265186114</v>
      </c>
      <c r="M377" s="10" t="s">
        <v>6</v>
      </c>
      <c r="N377" s="10" t="s">
        <v>397</v>
      </c>
    </row>
    <row r="378" spans="1:14" ht="15" hidden="1" customHeight="1" outlineLevel="1" x14ac:dyDescent="0.2">
      <c r="A378" s="16"/>
      <c r="C378" s="11" t="s">
        <v>37</v>
      </c>
      <c r="E378" s="4">
        <v>0.9</v>
      </c>
      <c r="F378" s="4">
        <v>0.9</v>
      </c>
      <c r="G378" s="4">
        <v>0.9</v>
      </c>
      <c r="H378" s="4">
        <v>0.9</v>
      </c>
      <c r="I378" s="4">
        <v>0.9</v>
      </c>
      <c r="J378" s="4">
        <v>0.9</v>
      </c>
      <c r="K378" s="4">
        <v>0.9</v>
      </c>
      <c r="N378" s="10" t="s">
        <v>390</v>
      </c>
    </row>
    <row r="379" spans="1:14" ht="15" hidden="1" customHeight="1" outlineLevel="1" x14ac:dyDescent="0.2">
      <c r="A379" s="16"/>
      <c r="C379" s="11" t="s">
        <v>76</v>
      </c>
      <c r="D379" s="9"/>
      <c r="E379" s="30">
        <f t="shared" ref="E379:K379" si="218">E259</f>
        <v>4563690.4761904757</v>
      </c>
      <c r="F379" s="30">
        <f t="shared" si="218"/>
        <v>4433271.9576719571</v>
      </c>
      <c r="G379" s="30">
        <f t="shared" si="218"/>
        <v>2641008.3177568475</v>
      </c>
      <c r="H379" s="30">
        <f t="shared" si="218"/>
        <v>3683335.7264027777</v>
      </c>
      <c r="I379" s="30">
        <f t="shared" si="218"/>
        <v>3152752.9761904757</v>
      </c>
      <c r="J379" s="30">
        <f t="shared" si="218"/>
        <v>2006418.4498069042</v>
      </c>
      <c r="K379" s="30">
        <f t="shared" si="218"/>
        <v>7418870.4931417201</v>
      </c>
      <c r="L379" s="9"/>
      <c r="M379" s="10" t="s">
        <v>214</v>
      </c>
    </row>
    <row r="380" spans="1:14" ht="15" hidden="1" customHeight="1" outlineLevel="1" x14ac:dyDescent="0.2">
      <c r="A380" s="16"/>
      <c r="C380" s="11" t="s">
        <v>35</v>
      </c>
      <c r="E380" s="3">
        <f t="shared" ref="E380:K380" si="219">E22</f>
        <v>240</v>
      </c>
      <c r="F380" s="3">
        <f t="shared" si="219"/>
        <v>240</v>
      </c>
      <c r="G380" s="3">
        <f t="shared" si="219"/>
        <v>240</v>
      </c>
      <c r="H380" s="3">
        <f t="shared" si="219"/>
        <v>240</v>
      </c>
      <c r="I380" s="3">
        <f t="shared" si="219"/>
        <v>240</v>
      </c>
      <c r="J380" s="3">
        <f t="shared" si="219"/>
        <v>240</v>
      </c>
      <c r="K380" s="3">
        <f t="shared" si="219"/>
        <v>240</v>
      </c>
      <c r="M380" s="10" t="s">
        <v>8</v>
      </c>
      <c r="N380" s="10" t="s">
        <v>371</v>
      </c>
    </row>
    <row r="381" spans="1:14" ht="15" hidden="1" customHeight="1" outlineLevel="1" x14ac:dyDescent="0.2">
      <c r="A381" s="16"/>
      <c r="B381" s="10" t="s">
        <v>135</v>
      </c>
      <c r="C381" s="11"/>
      <c r="E381" s="3">
        <f t="shared" ref="E381:K381" si="220">E382*E383*E384/10^6</f>
        <v>889.91964285714278</v>
      </c>
      <c r="F381" s="3">
        <f t="shared" si="220"/>
        <v>864.48803174603165</v>
      </c>
      <c r="G381" s="3">
        <f t="shared" si="220"/>
        <v>514.9966219625851</v>
      </c>
      <c r="H381" s="3">
        <f t="shared" si="220"/>
        <v>738.30287644122882</v>
      </c>
      <c r="I381" s="3">
        <f t="shared" si="220"/>
        <v>614.78683035714278</v>
      </c>
      <c r="J381" s="3">
        <f t="shared" si="220"/>
        <v>391.25159771234632</v>
      </c>
      <c r="K381" s="3">
        <f t="shared" si="220"/>
        <v>1446.6797461626352</v>
      </c>
      <c r="M381" s="10" t="s">
        <v>6</v>
      </c>
      <c r="N381" s="10" t="s">
        <v>395</v>
      </c>
    </row>
    <row r="382" spans="1:14" ht="15" hidden="1" customHeight="1" outlineLevel="1" x14ac:dyDescent="0.2">
      <c r="A382" s="16"/>
      <c r="C382" s="11" t="s">
        <v>132</v>
      </c>
      <c r="E382" s="4">
        <v>0.75</v>
      </c>
      <c r="F382" s="4">
        <v>0.75</v>
      </c>
      <c r="G382" s="4">
        <v>0.75</v>
      </c>
      <c r="H382" s="4">
        <v>0.75</v>
      </c>
      <c r="I382" s="4">
        <v>0.75</v>
      </c>
      <c r="J382" s="4">
        <v>0.75</v>
      </c>
      <c r="K382" s="4">
        <v>0.75</v>
      </c>
      <c r="N382" s="10" t="s">
        <v>392</v>
      </c>
    </row>
    <row r="383" spans="1:14" ht="15" hidden="1" customHeight="1" outlineLevel="1" x14ac:dyDescent="0.2">
      <c r="A383" s="16"/>
      <c r="C383" s="11" t="s">
        <v>136</v>
      </c>
      <c r="D383" s="9"/>
      <c r="E383" s="30">
        <f t="shared" ref="E383:K383" si="221">E258</f>
        <v>4563690.4761904757</v>
      </c>
      <c r="F383" s="30">
        <f t="shared" si="221"/>
        <v>4433271.9576719571</v>
      </c>
      <c r="G383" s="30">
        <f t="shared" si="221"/>
        <v>2641008.3177568465</v>
      </c>
      <c r="H383" s="30">
        <f t="shared" si="221"/>
        <v>3786168.5971345073</v>
      </c>
      <c r="I383" s="30">
        <f t="shared" si="221"/>
        <v>3152752.9761904757</v>
      </c>
      <c r="J383" s="30">
        <f t="shared" si="221"/>
        <v>2006418.4498069042</v>
      </c>
      <c r="K383" s="30">
        <f t="shared" si="221"/>
        <v>7418870.4931417182</v>
      </c>
      <c r="L383" s="9"/>
      <c r="M383" s="10" t="s">
        <v>214</v>
      </c>
    </row>
    <row r="384" spans="1:14" ht="15" hidden="1" customHeight="1" outlineLevel="1" x14ac:dyDescent="0.2">
      <c r="A384" s="16"/>
      <c r="C384" s="11" t="s">
        <v>131</v>
      </c>
      <c r="E384" s="3">
        <f t="shared" ref="E384:K384" si="222">E23</f>
        <v>260</v>
      </c>
      <c r="F384" s="3">
        <f t="shared" si="222"/>
        <v>260</v>
      </c>
      <c r="G384" s="3">
        <f t="shared" si="222"/>
        <v>260</v>
      </c>
      <c r="H384" s="3">
        <f t="shared" si="222"/>
        <v>260</v>
      </c>
      <c r="I384" s="3">
        <f t="shared" si="222"/>
        <v>260</v>
      </c>
      <c r="J384" s="3">
        <f t="shared" si="222"/>
        <v>260</v>
      </c>
      <c r="K384" s="3">
        <f t="shared" si="222"/>
        <v>260</v>
      </c>
      <c r="M384" s="10" t="s">
        <v>8</v>
      </c>
      <c r="N384" s="10" t="s">
        <v>371</v>
      </c>
    </row>
    <row r="385" spans="1:14" ht="15" customHeight="1" collapsed="1" x14ac:dyDescent="0.2">
      <c r="C385" s="11"/>
    </row>
    <row r="386" spans="1:14" ht="15" customHeight="1" x14ac:dyDescent="0.2">
      <c r="C386" s="11"/>
    </row>
    <row r="387" spans="1:14" ht="15" customHeight="1" x14ac:dyDescent="0.2">
      <c r="A387" s="32" t="s">
        <v>363</v>
      </c>
      <c r="C387" s="11"/>
      <c r="N387" s="10" t="s">
        <v>369</v>
      </c>
    </row>
    <row r="388" spans="1:14" ht="15" hidden="1" customHeight="1" outlineLevel="1" x14ac:dyDescent="0.2">
      <c r="A388" s="11"/>
      <c r="C388" s="11"/>
    </row>
    <row r="389" spans="1:14" ht="15" hidden="1" customHeight="1" outlineLevel="1" x14ac:dyDescent="0.2">
      <c r="A389" s="31" t="s">
        <v>36</v>
      </c>
      <c r="C389" s="18"/>
      <c r="N389" s="10" t="s">
        <v>369</v>
      </c>
    </row>
    <row r="390" spans="1:14" ht="15" hidden="1" customHeight="1" outlineLevel="1" x14ac:dyDescent="0.2">
      <c r="A390" s="33"/>
      <c r="B390" s="10" t="s">
        <v>180</v>
      </c>
      <c r="C390" s="11"/>
      <c r="E390" s="3">
        <f t="shared" ref="E390:J390" si="223">MIN(E392,E398)</f>
        <v>591.33383741792977</v>
      </c>
      <c r="F390" s="3">
        <f t="shared" si="223"/>
        <v>450.56002527383657</v>
      </c>
      <c r="G390" s="3">
        <f t="shared" si="223"/>
        <v>401.77577642514592</v>
      </c>
      <c r="H390" s="3">
        <f t="shared" si="223"/>
        <v>492.95599453120286</v>
      </c>
      <c r="I390" s="3">
        <f t="shared" si="223"/>
        <v>322.01254893138582</v>
      </c>
      <c r="J390" s="53">
        <f t="shared" si="223"/>
        <v>246.77579801047975</v>
      </c>
      <c r="K390" s="3">
        <f>MIN(K392,K398)</f>
        <v>1293.8357037392957</v>
      </c>
      <c r="M390" s="10" t="s">
        <v>6</v>
      </c>
      <c r="N390" s="10" t="s">
        <v>369</v>
      </c>
    </row>
    <row r="391" spans="1:14" ht="15" hidden="1" customHeight="1" outlineLevel="1" x14ac:dyDescent="0.2">
      <c r="A391" s="11"/>
      <c r="B391" s="10" t="s">
        <v>178</v>
      </c>
      <c r="C391" s="18"/>
      <c r="N391" s="10" t="s">
        <v>369</v>
      </c>
    </row>
    <row r="392" spans="1:14" ht="15" hidden="1" customHeight="1" outlineLevel="1" x14ac:dyDescent="0.2">
      <c r="A392" s="33"/>
      <c r="B392" s="10" t="s">
        <v>177</v>
      </c>
      <c r="C392" s="11"/>
      <c r="E392" s="3">
        <f t="shared" ref="E392:K392" si="224">E393*E394*E395*E396/10^6</f>
        <v>591.33383741792977</v>
      </c>
      <c r="F392" s="3">
        <f t="shared" si="224"/>
        <v>509.1940633710625</v>
      </c>
      <c r="G392" s="3">
        <f t="shared" si="224"/>
        <v>509.1940633710625</v>
      </c>
      <c r="H392" s="3">
        <f t="shared" si="224"/>
        <v>492.95599453120286</v>
      </c>
      <c r="I392" s="53">
        <f t="shared" si="224"/>
        <v>322.01254893138582</v>
      </c>
      <c r="J392" s="3">
        <f t="shared" si="224"/>
        <v>273.28343756414284</v>
      </c>
      <c r="K392" s="3">
        <f t="shared" si="224"/>
        <v>1344.8433080201632</v>
      </c>
      <c r="M392" s="10" t="s">
        <v>6</v>
      </c>
      <c r="N392" s="10" t="s">
        <v>369</v>
      </c>
    </row>
    <row r="393" spans="1:14" ht="15" hidden="1" customHeight="1" outlineLevel="1" x14ac:dyDescent="0.2">
      <c r="A393" s="33"/>
      <c r="C393" s="11" t="s">
        <v>37</v>
      </c>
      <c r="E393" s="4">
        <v>0.9</v>
      </c>
      <c r="F393" s="4">
        <v>0.9</v>
      </c>
      <c r="G393" s="4">
        <v>0.9</v>
      </c>
      <c r="H393" s="4">
        <v>0.9</v>
      </c>
      <c r="I393" s="4">
        <v>0.9</v>
      </c>
      <c r="J393" s="4">
        <v>0.9</v>
      </c>
      <c r="K393" s="4">
        <v>0.9</v>
      </c>
      <c r="N393" s="10" t="s">
        <v>390</v>
      </c>
    </row>
    <row r="394" spans="1:14" ht="15" hidden="1" customHeight="1" outlineLevel="1" x14ac:dyDescent="0.2">
      <c r="A394" s="33"/>
      <c r="C394" s="11" t="s">
        <v>161</v>
      </c>
      <c r="D394" s="9"/>
      <c r="E394" s="34">
        <f t="shared" ref="E394:K394" si="225">MIN(E78:E79)</f>
        <v>4563690.4761904757</v>
      </c>
      <c r="F394" s="34">
        <f t="shared" si="225"/>
        <v>4563690.4761904757</v>
      </c>
      <c r="G394" s="34">
        <f t="shared" si="225"/>
        <v>4563690.4761904757</v>
      </c>
      <c r="H394" s="34">
        <f t="shared" si="225"/>
        <v>3779047.6190476185</v>
      </c>
      <c r="I394" s="34">
        <f t="shared" si="225"/>
        <v>3152752.9761904757</v>
      </c>
      <c r="J394" s="34">
        <f t="shared" si="225"/>
        <v>3152752.9761904757</v>
      </c>
      <c r="K394" s="34">
        <f t="shared" si="225"/>
        <v>14755166.666666668</v>
      </c>
      <c r="L394" s="9"/>
      <c r="M394" s="10" t="s">
        <v>214</v>
      </c>
    </row>
    <row r="395" spans="1:14" ht="15" hidden="1" customHeight="1" outlineLevel="1" x14ac:dyDescent="0.2">
      <c r="A395" s="33"/>
      <c r="C395" s="11" t="s">
        <v>39</v>
      </c>
      <c r="E395" s="4">
        <f t="shared" ref="E395:K395" si="226">E406</f>
        <v>0.59987781138870899</v>
      </c>
      <c r="F395" s="4">
        <f t="shared" si="226"/>
        <v>0.51655122872881443</v>
      </c>
      <c r="G395" s="4">
        <f t="shared" si="226"/>
        <v>0.51655122872881443</v>
      </c>
      <c r="H395" s="4">
        <f t="shared" si="226"/>
        <v>0.71617271979628172</v>
      </c>
      <c r="I395" s="4">
        <f t="shared" si="226"/>
        <v>0.51982291970846617</v>
      </c>
      <c r="J395" s="4">
        <f t="shared" si="226"/>
        <v>0.47553205707652579</v>
      </c>
      <c r="K395" s="4">
        <f t="shared" si="226"/>
        <v>0.96448562311159813</v>
      </c>
      <c r="N395" s="10" t="s">
        <v>375</v>
      </c>
    </row>
    <row r="396" spans="1:14" ht="15" hidden="1" customHeight="1" outlineLevel="1" x14ac:dyDescent="0.2">
      <c r="A396" s="33"/>
      <c r="C396" s="1" t="s">
        <v>43</v>
      </c>
      <c r="D396" s="19"/>
      <c r="E396" s="35">
        <f t="shared" ref="E396:J396" si="227">E411</f>
        <v>240</v>
      </c>
      <c r="F396" s="35">
        <f t="shared" si="227"/>
        <v>240</v>
      </c>
      <c r="G396" s="35">
        <f t="shared" si="227"/>
        <v>240</v>
      </c>
      <c r="H396" s="35">
        <f t="shared" si="227"/>
        <v>202.37902734840625</v>
      </c>
      <c r="I396" s="35">
        <f t="shared" si="227"/>
        <v>218.31567478593567</v>
      </c>
      <c r="J396" s="35">
        <f t="shared" si="227"/>
        <v>202.53545444267749</v>
      </c>
      <c r="K396" s="35">
        <f>K411</f>
        <v>105</v>
      </c>
      <c r="L396" s="19"/>
      <c r="M396" s="10" t="s">
        <v>8</v>
      </c>
      <c r="N396" s="10" t="s">
        <v>398</v>
      </c>
    </row>
    <row r="397" spans="1:14" ht="15" hidden="1" customHeight="1" outlineLevel="1" x14ac:dyDescent="0.2">
      <c r="A397" s="11"/>
      <c r="B397" s="10" t="s">
        <v>179</v>
      </c>
      <c r="C397" s="18"/>
      <c r="N397" s="10" t="s">
        <v>369</v>
      </c>
    </row>
    <row r="398" spans="1:14" ht="15" hidden="1" customHeight="1" outlineLevel="1" x14ac:dyDescent="0.2">
      <c r="A398" s="33"/>
      <c r="B398" s="10" t="s">
        <v>167</v>
      </c>
      <c r="C398" s="11"/>
      <c r="E398" s="3">
        <f t="shared" ref="E398:K398" si="228">E399*E400*E401*E402*E403/10^6</f>
        <v>591.33383741792977</v>
      </c>
      <c r="F398" s="3">
        <f t="shared" si="228"/>
        <v>450.56002527383657</v>
      </c>
      <c r="G398" s="3">
        <f t="shared" si="228"/>
        <v>401.77577642514592</v>
      </c>
      <c r="H398" s="3">
        <f t="shared" si="228"/>
        <v>532.60958971444688</v>
      </c>
      <c r="I398" s="3">
        <f t="shared" si="228"/>
        <v>328.78561574273022</v>
      </c>
      <c r="J398" s="3">
        <f t="shared" si="228"/>
        <v>246.77579801047975</v>
      </c>
      <c r="K398" s="3">
        <f t="shared" si="228"/>
        <v>1293.8357037392957</v>
      </c>
      <c r="M398" s="10" t="s">
        <v>6</v>
      </c>
      <c r="N398" s="10" t="s">
        <v>369</v>
      </c>
    </row>
    <row r="399" spans="1:14" ht="15" hidden="1" customHeight="1" outlineLevel="1" x14ac:dyDescent="0.2">
      <c r="A399" s="33"/>
      <c r="C399" s="11" t="s">
        <v>37</v>
      </c>
      <c r="E399" s="4">
        <v>0.9</v>
      </c>
      <c r="F399" s="4">
        <v>0.9</v>
      </c>
      <c r="G399" s="4">
        <v>0.9</v>
      </c>
      <c r="H399" s="4">
        <v>0.9</v>
      </c>
      <c r="I399" s="4">
        <v>0.9</v>
      </c>
      <c r="J399" s="4">
        <v>0.9</v>
      </c>
      <c r="K399" s="4">
        <v>0.9</v>
      </c>
      <c r="N399" s="10" t="s">
        <v>390</v>
      </c>
    </row>
    <row r="400" spans="1:14" ht="15" hidden="1" customHeight="1" outlineLevel="1" x14ac:dyDescent="0.2">
      <c r="A400" s="33"/>
      <c r="C400" s="11" t="s">
        <v>161</v>
      </c>
      <c r="D400" s="9"/>
      <c r="E400" s="34">
        <f t="shared" ref="E400:K400" si="229">MIN(E78:E79)</f>
        <v>4563690.4761904757</v>
      </c>
      <c r="F400" s="34">
        <f t="shared" si="229"/>
        <v>4563690.4761904757</v>
      </c>
      <c r="G400" s="34">
        <f t="shared" si="229"/>
        <v>4563690.4761904757</v>
      </c>
      <c r="H400" s="34">
        <f t="shared" si="229"/>
        <v>3779047.6190476185</v>
      </c>
      <c r="I400" s="34">
        <f t="shared" si="229"/>
        <v>3152752.9761904757</v>
      </c>
      <c r="J400" s="34">
        <f t="shared" si="229"/>
        <v>3152752.9761904757</v>
      </c>
      <c r="K400" s="34">
        <f t="shared" si="229"/>
        <v>14755166.666666668</v>
      </c>
      <c r="L400" s="9"/>
      <c r="M400" s="10" t="s">
        <v>214</v>
      </c>
    </row>
    <row r="401" spans="1:14" ht="15" hidden="1" customHeight="1" outlineLevel="1" x14ac:dyDescent="0.2">
      <c r="A401" s="33"/>
      <c r="C401" s="11" t="s">
        <v>30</v>
      </c>
      <c r="E401" s="4">
        <f t="shared" ref="E401:K402" si="230">E420</f>
        <v>1</v>
      </c>
      <c r="F401" s="4">
        <f t="shared" si="230"/>
        <v>0.90819339991288783</v>
      </c>
      <c r="G401" s="4">
        <f t="shared" si="230"/>
        <v>0.90480134313066207</v>
      </c>
      <c r="H401" s="4">
        <f t="shared" si="230"/>
        <v>1</v>
      </c>
      <c r="I401" s="4">
        <f t="shared" si="230"/>
        <v>1</v>
      </c>
      <c r="J401" s="4">
        <f t="shared" si="230"/>
        <v>0.91650362562879795</v>
      </c>
      <c r="K401" s="4">
        <f t="shared" si="230"/>
        <v>0.96207171201531316</v>
      </c>
      <c r="N401" s="10" t="s">
        <v>376</v>
      </c>
    </row>
    <row r="402" spans="1:14" ht="15" hidden="1" customHeight="1" outlineLevel="1" x14ac:dyDescent="0.2">
      <c r="A402" s="33"/>
      <c r="C402" s="11" t="s">
        <v>39</v>
      </c>
      <c r="E402" s="4">
        <f t="shared" si="230"/>
        <v>0.59987781138870899</v>
      </c>
      <c r="F402" s="4">
        <f t="shared" si="230"/>
        <v>0.54027066678435853</v>
      </c>
      <c r="G402" s="4">
        <f t="shared" si="230"/>
        <v>0.62460791011561645</v>
      </c>
      <c r="H402" s="4">
        <f t="shared" si="230"/>
        <v>0.6524885066646241</v>
      </c>
      <c r="I402" s="4">
        <f t="shared" si="230"/>
        <v>0.48280205900489293</v>
      </c>
      <c r="J402" s="4">
        <f t="shared" si="230"/>
        <v>0.49091934053067798</v>
      </c>
      <c r="K402" s="4">
        <f t="shared" si="230"/>
        <v>0.96448562311159813</v>
      </c>
      <c r="N402" s="10" t="s">
        <v>375</v>
      </c>
    </row>
    <row r="403" spans="1:14" ht="15" hidden="1" customHeight="1" outlineLevel="1" x14ac:dyDescent="0.2">
      <c r="A403" s="33"/>
      <c r="C403" s="1" t="s">
        <v>43</v>
      </c>
      <c r="D403" s="19"/>
      <c r="E403" s="35">
        <f t="shared" ref="E403:J403" si="231">E426</f>
        <v>240</v>
      </c>
      <c r="F403" s="35">
        <f t="shared" si="231"/>
        <v>223.56521739130434</v>
      </c>
      <c r="G403" s="35">
        <f t="shared" si="231"/>
        <v>173.08695652173913</v>
      </c>
      <c r="H403" s="35">
        <f t="shared" si="231"/>
        <v>240</v>
      </c>
      <c r="I403" s="35">
        <f t="shared" si="231"/>
        <v>240</v>
      </c>
      <c r="J403" s="35">
        <f t="shared" si="231"/>
        <v>193.29729729729729</v>
      </c>
      <c r="K403" s="35">
        <f>K426</f>
        <v>105</v>
      </c>
      <c r="L403" s="19"/>
      <c r="M403" s="10" t="s">
        <v>8</v>
      </c>
      <c r="N403" s="10" t="s">
        <v>398</v>
      </c>
    </row>
    <row r="404" spans="1:14" ht="15" hidden="1" customHeight="1" outlineLevel="1" x14ac:dyDescent="0.2">
      <c r="A404" s="33"/>
      <c r="B404" s="21"/>
      <c r="C404" s="1"/>
      <c r="D404" s="19"/>
      <c r="E404" s="36"/>
      <c r="F404" s="36"/>
      <c r="G404" s="36"/>
      <c r="H404" s="36"/>
      <c r="I404" s="36"/>
      <c r="J404" s="36"/>
      <c r="K404" s="36"/>
      <c r="L404" s="19"/>
      <c r="M404" s="21"/>
      <c r="N404" s="1"/>
    </row>
    <row r="405" spans="1:14" ht="15" hidden="1" customHeight="1" outlineLevel="1" x14ac:dyDescent="0.2">
      <c r="A405" s="31" t="s">
        <v>174</v>
      </c>
      <c r="C405" s="1"/>
      <c r="D405" s="37"/>
      <c r="E405" s="38"/>
      <c r="F405" s="38"/>
      <c r="G405" s="38"/>
      <c r="H405" s="38"/>
      <c r="I405" s="38"/>
      <c r="J405" s="38"/>
      <c r="K405" s="38"/>
      <c r="L405" s="37"/>
      <c r="M405" s="16"/>
      <c r="N405" s="10" t="s">
        <v>375</v>
      </c>
    </row>
    <row r="406" spans="1:14" ht="15" hidden="1" customHeight="1" outlineLevel="1" x14ac:dyDescent="0.2">
      <c r="A406" s="33"/>
      <c r="B406" s="21" t="s">
        <v>55</v>
      </c>
      <c r="C406" s="1"/>
      <c r="D406" s="19"/>
      <c r="E406" s="29">
        <f t="shared" ref="E406:K406" si="232">MIN(1,E407-SQRT(E407^2-1/E410^2))</f>
        <v>0.59987781138870899</v>
      </c>
      <c r="F406" s="29">
        <f t="shared" si="232"/>
        <v>0.51655122872881443</v>
      </c>
      <c r="G406" s="29">
        <f t="shared" si="232"/>
        <v>0.51655122872881443</v>
      </c>
      <c r="H406" s="29">
        <f t="shared" si="232"/>
        <v>0.71617271979628172</v>
      </c>
      <c r="I406" s="29">
        <f t="shared" si="232"/>
        <v>0.51982291970846617</v>
      </c>
      <c r="J406" s="29">
        <f t="shared" si="232"/>
        <v>0.47553205707652579</v>
      </c>
      <c r="K406" s="29">
        <f t="shared" si="232"/>
        <v>0.96448562311159813</v>
      </c>
      <c r="L406" s="19"/>
      <c r="M406" s="21"/>
      <c r="N406" s="10" t="s">
        <v>375</v>
      </c>
    </row>
    <row r="407" spans="1:14" ht="15" hidden="1" customHeight="1" outlineLevel="1" x14ac:dyDescent="0.2">
      <c r="A407" s="33"/>
      <c r="B407" s="21" t="s">
        <v>56</v>
      </c>
      <c r="C407" s="1"/>
      <c r="D407" s="19"/>
      <c r="E407" s="29">
        <f t="shared" ref="E407:K407" si="233">(1+E408*(E410-E409)+E410^2)/(2*E410^2)</f>
        <v>0.96322159605979663</v>
      </c>
      <c r="F407" s="29">
        <f t="shared" si="233"/>
        <v>1.0285546234911569</v>
      </c>
      <c r="G407" s="29">
        <f t="shared" si="233"/>
        <v>1.0285546234911569</v>
      </c>
      <c r="H407" s="29">
        <f t="shared" si="233"/>
        <v>1.109878381416515</v>
      </c>
      <c r="I407" s="29">
        <f t="shared" si="233"/>
        <v>0.88735775792641147</v>
      </c>
      <c r="J407" s="29">
        <f t="shared" si="233"/>
        <v>0.97709214197081162</v>
      </c>
      <c r="K407" s="29">
        <f t="shared" si="233"/>
        <v>4.0859356465969654</v>
      </c>
      <c r="L407" s="19"/>
      <c r="M407" s="21"/>
      <c r="N407" s="10" t="s">
        <v>375</v>
      </c>
    </row>
    <row r="408" spans="1:14" ht="15" hidden="1" customHeight="1" outlineLevel="1" x14ac:dyDescent="0.2">
      <c r="A408" s="33"/>
      <c r="C408" s="1" t="s">
        <v>202</v>
      </c>
      <c r="D408" s="19"/>
      <c r="E408" s="44">
        <f t="shared" ref="E408:K408" si="234">E49</f>
        <v>0.2</v>
      </c>
      <c r="F408" s="44">
        <f t="shared" si="234"/>
        <v>0.4</v>
      </c>
      <c r="G408" s="44">
        <f t="shared" si="234"/>
        <v>0.4</v>
      </c>
      <c r="H408" s="44">
        <f t="shared" si="234"/>
        <v>0.2</v>
      </c>
      <c r="I408" s="44">
        <f t="shared" si="234"/>
        <v>0.2</v>
      </c>
      <c r="J408" s="44">
        <f t="shared" si="234"/>
        <v>0.4</v>
      </c>
      <c r="K408" s="44">
        <f t="shared" si="234"/>
        <v>0.4</v>
      </c>
      <c r="L408" s="19"/>
      <c r="M408" s="21"/>
      <c r="N408" s="10" t="s">
        <v>375</v>
      </c>
    </row>
    <row r="409" spans="1:14" ht="15" hidden="1" customHeight="1" outlineLevel="1" x14ac:dyDescent="0.2">
      <c r="A409" s="33"/>
      <c r="C409" s="1" t="s">
        <v>50</v>
      </c>
      <c r="D409" s="19"/>
      <c r="E409" s="7">
        <v>0.3</v>
      </c>
      <c r="F409" s="7">
        <v>0.3</v>
      </c>
      <c r="G409" s="7">
        <v>0.3</v>
      </c>
      <c r="H409" s="7">
        <v>0.3</v>
      </c>
      <c r="I409" s="7">
        <v>0.3</v>
      </c>
      <c r="J409" s="7">
        <v>0.3</v>
      </c>
      <c r="K409" s="7">
        <v>0.3</v>
      </c>
      <c r="L409" s="19"/>
      <c r="M409" s="21"/>
      <c r="N409" s="10" t="s">
        <v>375</v>
      </c>
    </row>
    <row r="410" spans="1:14" ht="15" hidden="1" customHeight="1" outlineLevel="1" x14ac:dyDescent="0.2">
      <c r="A410" s="33"/>
      <c r="B410" s="21" t="s">
        <v>57</v>
      </c>
      <c r="C410" s="1"/>
      <c r="D410" s="19"/>
      <c r="E410" s="18">
        <f t="shared" ref="E410:K410" si="235">E436/PI()*SQRT(E411/E412)</f>
        <v>1.120996537505089</v>
      </c>
      <c r="F410" s="18">
        <f t="shared" si="235"/>
        <v>1.120996537505089</v>
      </c>
      <c r="G410" s="18">
        <f t="shared" si="235"/>
        <v>1.120996537505089</v>
      </c>
      <c r="H410" s="18">
        <f t="shared" si="235"/>
        <v>0.96366760309499444</v>
      </c>
      <c r="I410" s="18">
        <f t="shared" si="235"/>
        <v>1.2381378761484869</v>
      </c>
      <c r="J410" s="18">
        <f t="shared" si="235"/>
        <v>1.1925513255533582</v>
      </c>
      <c r="K410" s="18">
        <f t="shared" si="235"/>
        <v>0.37928287984686843</v>
      </c>
      <c r="L410" s="19"/>
      <c r="M410" s="21"/>
      <c r="N410" s="10" t="s">
        <v>383</v>
      </c>
    </row>
    <row r="411" spans="1:14" ht="15" hidden="1" customHeight="1" outlineLevel="1" x14ac:dyDescent="0.2">
      <c r="A411" s="33"/>
      <c r="C411" s="1" t="s">
        <v>176</v>
      </c>
      <c r="D411" s="19"/>
      <c r="E411" s="35">
        <f t="shared" ref="E411:J411" si="236">MIN(E413:E417)</f>
        <v>240</v>
      </c>
      <c r="F411" s="35">
        <f t="shared" si="236"/>
        <v>240</v>
      </c>
      <c r="G411" s="35">
        <f t="shared" si="236"/>
        <v>240</v>
      </c>
      <c r="H411" s="35">
        <f t="shared" si="236"/>
        <v>202.37902734840625</v>
      </c>
      <c r="I411" s="35">
        <f t="shared" si="236"/>
        <v>218.31567478593567</v>
      </c>
      <c r="J411" s="35">
        <f t="shared" si="236"/>
        <v>202.53545444267749</v>
      </c>
      <c r="K411" s="35">
        <f>MIN(K413:K417)</f>
        <v>105</v>
      </c>
      <c r="L411" s="19"/>
      <c r="M411" s="21" t="s">
        <v>8</v>
      </c>
      <c r="N411" s="10" t="s">
        <v>398</v>
      </c>
    </row>
    <row r="412" spans="1:14" ht="15" hidden="1" customHeight="1" outlineLevel="1" x14ac:dyDescent="0.2">
      <c r="A412" s="33"/>
      <c r="C412" s="1" t="s">
        <v>29</v>
      </c>
      <c r="D412" s="19"/>
      <c r="E412" s="35">
        <f t="shared" ref="E412:K412" si="237">E25</f>
        <v>70000</v>
      </c>
      <c r="F412" s="35">
        <f t="shared" si="237"/>
        <v>70000</v>
      </c>
      <c r="G412" s="35">
        <f t="shared" si="237"/>
        <v>70000</v>
      </c>
      <c r="H412" s="35">
        <f t="shared" si="237"/>
        <v>70000</v>
      </c>
      <c r="I412" s="35">
        <f t="shared" si="237"/>
        <v>70000</v>
      </c>
      <c r="J412" s="35">
        <f t="shared" si="237"/>
        <v>70000</v>
      </c>
      <c r="K412" s="35">
        <f t="shared" si="237"/>
        <v>70000</v>
      </c>
      <c r="L412" s="19"/>
      <c r="M412" s="21" t="s">
        <v>8</v>
      </c>
      <c r="N412" s="10" t="s">
        <v>372</v>
      </c>
    </row>
    <row r="413" spans="1:14" ht="15" hidden="1" customHeight="1" outlineLevel="1" x14ac:dyDescent="0.2">
      <c r="A413" s="33"/>
      <c r="C413" s="1" t="s">
        <v>168</v>
      </c>
      <c r="D413" s="19"/>
      <c r="E413" s="40">
        <f t="shared" ref="E413:K413" si="238">E22</f>
        <v>240</v>
      </c>
      <c r="F413" s="40">
        <f t="shared" si="238"/>
        <v>240</v>
      </c>
      <c r="G413" s="40">
        <f t="shared" si="238"/>
        <v>240</v>
      </c>
      <c r="H413" s="40">
        <f t="shared" si="238"/>
        <v>240</v>
      </c>
      <c r="I413" s="40">
        <f t="shared" si="238"/>
        <v>240</v>
      </c>
      <c r="J413" s="40">
        <f t="shared" si="238"/>
        <v>240</v>
      </c>
      <c r="K413" s="40">
        <f t="shared" si="238"/>
        <v>240</v>
      </c>
      <c r="L413" s="19"/>
      <c r="M413" s="21" t="s">
        <v>8</v>
      </c>
      <c r="N413" s="10" t="s">
        <v>399</v>
      </c>
    </row>
    <row r="414" spans="1:14" ht="15" hidden="1" customHeight="1" outlineLevel="1" x14ac:dyDescent="0.2">
      <c r="A414" s="33"/>
      <c r="C414" s="1" t="s">
        <v>169</v>
      </c>
      <c r="D414" s="19"/>
      <c r="E414" s="40">
        <f t="shared" ref="E414:J414" si="239">E449</f>
        <v>240</v>
      </c>
      <c r="F414" s="40">
        <f t="shared" si="239"/>
        <v>240</v>
      </c>
      <c r="G414" s="40">
        <f t="shared" si="239"/>
        <v>240</v>
      </c>
      <c r="H414" s="40">
        <f t="shared" si="239"/>
        <v>240</v>
      </c>
      <c r="I414" s="40">
        <f t="shared" si="239"/>
        <v>218.31567478593567</v>
      </c>
      <c r="J414" s="40">
        <f t="shared" si="239"/>
        <v>202.53545444267749</v>
      </c>
      <c r="K414" s="40">
        <f>K449</f>
        <v>223.11869249789967</v>
      </c>
      <c r="L414" s="19"/>
      <c r="M414" s="21" t="s">
        <v>8</v>
      </c>
      <c r="N414" s="10" t="s">
        <v>400</v>
      </c>
    </row>
    <row r="415" spans="1:14" ht="15" hidden="1" customHeight="1" outlineLevel="1" x14ac:dyDescent="0.2">
      <c r="A415" s="33"/>
      <c r="C415" s="1" t="s">
        <v>170</v>
      </c>
      <c r="D415" s="19"/>
      <c r="E415" s="40">
        <f t="shared" ref="E415:K415" si="240">E465</f>
        <v>240</v>
      </c>
      <c r="F415" s="40">
        <f t="shared" si="240"/>
        <v>240</v>
      </c>
      <c r="G415" s="40">
        <f t="shared" si="240"/>
        <v>240</v>
      </c>
      <c r="H415" s="40">
        <f t="shared" si="240"/>
        <v>202.37902734840625</v>
      </c>
      <c r="I415" s="40">
        <f t="shared" si="240"/>
        <v>240</v>
      </c>
      <c r="J415" s="40">
        <f t="shared" si="240"/>
        <v>240</v>
      </c>
      <c r="K415" s="40">
        <f t="shared" si="240"/>
        <v>240</v>
      </c>
      <c r="L415" s="19"/>
      <c r="M415" s="21" t="s">
        <v>8</v>
      </c>
      <c r="N415" s="10" t="s">
        <v>401</v>
      </c>
    </row>
    <row r="416" spans="1:14" ht="15" hidden="1" customHeight="1" outlineLevel="1" x14ac:dyDescent="0.2">
      <c r="A416" s="33"/>
      <c r="C416" s="1" t="s">
        <v>171</v>
      </c>
      <c r="D416" s="19"/>
      <c r="E416" s="45" t="s">
        <v>1</v>
      </c>
      <c r="F416" s="45" t="s">
        <v>1</v>
      </c>
      <c r="G416" s="45" t="s">
        <v>1</v>
      </c>
      <c r="H416" s="45" t="s">
        <v>1</v>
      </c>
      <c r="I416" s="45" t="s">
        <v>1</v>
      </c>
      <c r="J416" s="45" t="s">
        <v>1</v>
      </c>
      <c r="K416" s="45" t="s">
        <v>1</v>
      </c>
      <c r="L416" s="19"/>
      <c r="M416" s="21" t="s">
        <v>8</v>
      </c>
      <c r="N416" s="10" t="s">
        <v>402</v>
      </c>
    </row>
    <row r="417" spans="1:14" ht="15" hidden="1" customHeight="1" outlineLevel="1" x14ac:dyDescent="0.2">
      <c r="A417" s="33"/>
      <c r="C417" s="1" t="s">
        <v>172</v>
      </c>
      <c r="D417" s="19"/>
      <c r="E417" s="45" t="s">
        <v>1</v>
      </c>
      <c r="F417" s="45" t="s">
        <v>1</v>
      </c>
      <c r="G417" s="45" t="s">
        <v>1</v>
      </c>
      <c r="H417" s="45" t="s">
        <v>1</v>
      </c>
      <c r="I417" s="45" t="s">
        <v>1</v>
      </c>
      <c r="J417" s="45" t="s">
        <v>1</v>
      </c>
      <c r="K417" s="45">
        <f>K24</f>
        <v>105</v>
      </c>
      <c r="L417" s="19"/>
      <c r="M417" s="21" t="s">
        <v>8</v>
      </c>
      <c r="N417" s="10" t="s">
        <v>403</v>
      </c>
    </row>
    <row r="418" spans="1:14" ht="15" hidden="1" customHeight="1" outlineLevel="1" x14ac:dyDescent="0.2">
      <c r="A418" s="33"/>
      <c r="B418" s="21"/>
      <c r="C418" s="1"/>
      <c r="D418" s="19"/>
      <c r="E418" s="36"/>
      <c r="F418" s="36"/>
      <c r="G418" s="36"/>
      <c r="H418" s="36"/>
      <c r="I418" s="36"/>
      <c r="J418" s="36"/>
      <c r="K418" s="36"/>
      <c r="L418" s="19"/>
      <c r="M418" s="21"/>
      <c r="N418" s="1"/>
    </row>
    <row r="419" spans="1:14" ht="15" hidden="1" customHeight="1" outlineLevel="1" x14ac:dyDescent="0.2">
      <c r="A419" s="31" t="s">
        <v>175</v>
      </c>
      <c r="C419" s="1"/>
      <c r="D419" s="37"/>
      <c r="E419" s="38"/>
      <c r="F419" s="38"/>
      <c r="G419" s="38"/>
      <c r="H419" s="38"/>
      <c r="I419" s="38"/>
      <c r="J419" s="38"/>
      <c r="K419" s="38"/>
      <c r="L419" s="37"/>
      <c r="M419" s="16"/>
      <c r="N419" s="10" t="s">
        <v>375</v>
      </c>
    </row>
    <row r="420" spans="1:14" ht="15" hidden="1" customHeight="1" outlineLevel="1" x14ac:dyDescent="0.2">
      <c r="A420" s="33"/>
      <c r="B420" s="1" t="s">
        <v>54</v>
      </c>
      <c r="C420" s="1"/>
      <c r="D420" s="19"/>
      <c r="E420" s="18">
        <f t="shared" ref="E420:K420" si="241">IF(E50="oui",MIN(1,0.9+0.1*ABS(1-E425)),1)</f>
        <v>1</v>
      </c>
      <c r="F420" s="18">
        <f t="shared" si="241"/>
        <v>0.90819339991288783</v>
      </c>
      <c r="G420" s="18">
        <f t="shared" si="241"/>
        <v>0.90480134313066207</v>
      </c>
      <c r="H420" s="18">
        <f t="shared" si="241"/>
        <v>1</v>
      </c>
      <c r="I420" s="18">
        <f t="shared" si="241"/>
        <v>1</v>
      </c>
      <c r="J420" s="18">
        <f t="shared" si="241"/>
        <v>0.91650362562879795</v>
      </c>
      <c r="K420" s="18">
        <f t="shared" si="241"/>
        <v>0.96207171201531316</v>
      </c>
      <c r="L420" s="19"/>
      <c r="M420" s="21"/>
      <c r="N420" s="10" t="s">
        <v>376</v>
      </c>
    </row>
    <row r="421" spans="1:14" ht="15" hidden="1" customHeight="1" outlineLevel="1" x14ac:dyDescent="0.2">
      <c r="A421" s="33"/>
      <c r="B421" s="21" t="s">
        <v>55</v>
      </c>
      <c r="C421" s="1"/>
      <c r="D421" s="19"/>
      <c r="E421" s="29">
        <f t="shared" ref="E421:K421" si="242">MIN(1,E422-SQRT(E422^2-1/E425^2))</f>
        <v>0.59987781138870899</v>
      </c>
      <c r="F421" s="29">
        <f t="shared" si="242"/>
        <v>0.54027066678435853</v>
      </c>
      <c r="G421" s="29">
        <f t="shared" si="242"/>
        <v>0.62460791011561645</v>
      </c>
      <c r="H421" s="29">
        <f t="shared" si="242"/>
        <v>0.6524885066646241</v>
      </c>
      <c r="I421" s="29">
        <f t="shared" si="242"/>
        <v>0.48280205900489293</v>
      </c>
      <c r="J421" s="29">
        <f t="shared" si="242"/>
        <v>0.49091934053067798</v>
      </c>
      <c r="K421" s="29">
        <f t="shared" si="242"/>
        <v>0.96448562311159813</v>
      </c>
      <c r="L421" s="19"/>
      <c r="M421" s="21"/>
      <c r="N421" s="10" t="s">
        <v>375</v>
      </c>
    </row>
    <row r="422" spans="1:14" ht="15" hidden="1" customHeight="1" outlineLevel="1" x14ac:dyDescent="0.2">
      <c r="A422" s="33"/>
      <c r="B422" s="21" t="s">
        <v>56</v>
      </c>
      <c r="C422" s="1"/>
      <c r="D422" s="19"/>
      <c r="E422" s="29">
        <f t="shared" ref="E422:K422" si="243">(1+E423*(E425-E424)+E425^2)/(2*E425^2)</f>
        <v>0.96322159605979663</v>
      </c>
      <c r="F422" s="29">
        <f t="shared" si="243"/>
        <v>1.0607358224255203</v>
      </c>
      <c r="G422" s="29">
        <f t="shared" si="243"/>
        <v>1.1955890099298796</v>
      </c>
      <c r="H422" s="29">
        <f t="shared" si="243"/>
        <v>1.0220642137782121</v>
      </c>
      <c r="I422" s="29">
        <f t="shared" si="243"/>
        <v>0.85592177519675305</v>
      </c>
      <c r="J422" s="29">
        <f t="shared" si="243"/>
        <v>0.99583920390687641</v>
      </c>
      <c r="K422" s="29">
        <f t="shared" si="243"/>
        <v>4.0859356465969654</v>
      </c>
      <c r="L422" s="19"/>
      <c r="M422" s="21"/>
      <c r="N422" s="10" t="s">
        <v>375</v>
      </c>
    </row>
    <row r="423" spans="1:14" ht="15" hidden="1" customHeight="1" outlineLevel="1" x14ac:dyDescent="0.2">
      <c r="A423" s="33"/>
      <c r="C423" s="1" t="s">
        <v>202</v>
      </c>
      <c r="D423" s="19"/>
      <c r="E423" s="44">
        <f t="shared" ref="E423:K423" si="244">E49</f>
        <v>0.2</v>
      </c>
      <c r="F423" s="44">
        <f t="shared" si="244"/>
        <v>0.4</v>
      </c>
      <c r="G423" s="44">
        <f t="shared" si="244"/>
        <v>0.4</v>
      </c>
      <c r="H423" s="44">
        <f t="shared" si="244"/>
        <v>0.2</v>
      </c>
      <c r="I423" s="44">
        <f t="shared" si="244"/>
        <v>0.2</v>
      </c>
      <c r="J423" s="44">
        <f t="shared" si="244"/>
        <v>0.4</v>
      </c>
      <c r="K423" s="44">
        <f t="shared" si="244"/>
        <v>0.4</v>
      </c>
      <c r="L423" s="19"/>
      <c r="M423" s="21"/>
      <c r="N423" s="10" t="s">
        <v>375</v>
      </c>
    </row>
    <row r="424" spans="1:14" ht="15" hidden="1" customHeight="1" outlineLevel="1" x14ac:dyDescent="0.2">
      <c r="A424" s="33"/>
      <c r="C424" s="1" t="s">
        <v>50</v>
      </c>
      <c r="D424" s="19"/>
      <c r="E424" s="7">
        <v>0.3</v>
      </c>
      <c r="F424" s="7">
        <v>0.3</v>
      </c>
      <c r="G424" s="7">
        <v>0.3</v>
      </c>
      <c r="H424" s="7">
        <v>0.3</v>
      </c>
      <c r="I424" s="7">
        <v>0.3</v>
      </c>
      <c r="J424" s="7">
        <v>0.3</v>
      </c>
      <c r="K424" s="7">
        <v>0.3</v>
      </c>
      <c r="L424" s="19"/>
      <c r="M424" s="21"/>
      <c r="N424" s="10" t="s">
        <v>375</v>
      </c>
    </row>
    <row r="425" spans="1:14" ht="15" hidden="1" customHeight="1" outlineLevel="1" x14ac:dyDescent="0.2">
      <c r="A425" s="33"/>
      <c r="B425" s="21" t="s">
        <v>57</v>
      </c>
      <c r="C425" s="1"/>
      <c r="D425" s="19"/>
      <c r="E425" s="29">
        <f t="shared" ref="E425:K425" si="245">E436/PI()*SQRT(E426/E427)</f>
        <v>1.120996537505089</v>
      </c>
      <c r="F425" s="29">
        <f t="shared" si="245"/>
        <v>1.0819339991288786</v>
      </c>
      <c r="G425" s="29">
        <f t="shared" si="245"/>
        <v>0.95198656869337961</v>
      </c>
      <c r="H425" s="29">
        <f t="shared" si="245"/>
        <v>1.0494219110592427</v>
      </c>
      <c r="I425" s="29">
        <f t="shared" si="245"/>
        <v>1.2981718004941083</v>
      </c>
      <c r="J425" s="29">
        <f t="shared" si="245"/>
        <v>1.1650362562879788</v>
      </c>
      <c r="K425" s="29">
        <f t="shared" si="245"/>
        <v>0.37928287984686843</v>
      </c>
      <c r="L425" s="19"/>
      <c r="M425" s="21"/>
      <c r="N425" s="10" t="s">
        <v>383</v>
      </c>
    </row>
    <row r="426" spans="1:14" ht="15" hidden="1" customHeight="1" outlineLevel="1" x14ac:dyDescent="0.2">
      <c r="A426" s="33"/>
      <c r="C426" s="1" t="s">
        <v>181</v>
      </c>
      <c r="D426" s="19"/>
      <c r="E426" s="35">
        <f t="shared" ref="E426:J426" si="246">MIN(E428)</f>
        <v>240</v>
      </c>
      <c r="F426" s="35">
        <f t="shared" si="246"/>
        <v>223.56521739130434</v>
      </c>
      <c r="G426" s="35">
        <f t="shared" si="246"/>
        <v>173.08695652173913</v>
      </c>
      <c r="H426" s="35">
        <f t="shared" si="246"/>
        <v>240</v>
      </c>
      <c r="I426" s="35">
        <f t="shared" si="246"/>
        <v>240</v>
      </c>
      <c r="J426" s="35">
        <f t="shared" si="246"/>
        <v>193.29729729729729</v>
      </c>
      <c r="K426" s="35">
        <f>MIN(K428)</f>
        <v>105</v>
      </c>
      <c r="L426" s="19"/>
      <c r="M426" s="21" t="s">
        <v>8</v>
      </c>
      <c r="N426" s="10" t="s">
        <v>398</v>
      </c>
    </row>
    <row r="427" spans="1:14" ht="15" hidden="1" customHeight="1" outlineLevel="1" x14ac:dyDescent="0.2">
      <c r="A427" s="33"/>
      <c r="C427" s="1" t="s">
        <v>29</v>
      </c>
      <c r="D427" s="19"/>
      <c r="E427" s="35">
        <f t="shared" ref="E427:K427" si="247">E25</f>
        <v>70000</v>
      </c>
      <c r="F427" s="35">
        <f t="shared" si="247"/>
        <v>70000</v>
      </c>
      <c r="G427" s="35">
        <f t="shared" si="247"/>
        <v>70000</v>
      </c>
      <c r="H427" s="35">
        <f t="shared" si="247"/>
        <v>70000</v>
      </c>
      <c r="I427" s="35">
        <f t="shared" si="247"/>
        <v>70000</v>
      </c>
      <c r="J427" s="35">
        <f t="shared" si="247"/>
        <v>70000</v>
      </c>
      <c r="K427" s="35">
        <f t="shared" si="247"/>
        <v>70000</v>
      </c>
      <c r="L427" s="19"/>
      <c r="M427" s="21" t="s">
        <v>8</v>
      </c>
      <c r="N427" s="10" t="s">
        <v>372</v>
      </c>
    </row>
    <row r="428" spans="1:14" ht="15" hidden="1" customHeight="1" outlineLevel="1" x14ac:dyDescent="0.2">
      <c r="A428" s="33"/>
      <c r="C428" s="1" t="s">
        <v>173</v>
      </c>
      <c r="D428" s="19"/>
      <c r="E428" s="45">
        <f t="shared" ref="E428:K428" si="248">E429</f>
        <v>240</v>
      </c>
      <c r="F428" s="45">
        <f t="shared" si="248"/>
        <v>223.56521739130434</v>
      </c>
      <c r="G428" s="45">
        <f t="shared" si="248"/>
        <v>173.08695652173913</v>
      </c>
      <c r="H428" s="45">
        <f>H429</f>
        <v>240</v>
      </c>
      <c r="I428" s="45">
        <f t="shared" si="248"/>
        <v>240</v>
      </c>
      <c r="J428" s="59">
        <f t="shared" si="248"/>
        <v>193.29729729729729</v>
      </c>
      <c r="K428" s="45">
        <f t="shared" si="248"/>
        <v>105</v>
      </c>
      <c r="L428" s="19"/>
      <c r="M428" s="21" t="s">
        <v>8</v>
      </c>
      <c r="N428" s="10" t="s">
        <v>404</v>
      </c>
    </row>
    <row r="429" spans="1:14" ht="15" hidden="1" customHeight="1" outlineLevel="1" x14ac:dyDescent="0.2">
      <c r="A429" s="16"/>
      <c r="B429" s="21" t="s">
        <v>52</v>
      </c>
      <c r="C429" s="11"/>
      <c r="D429" s="19"/>
      <c r="E429" s="3">
        <f t="shared" ref="E429:K429" si="249">E430-(E430-E431)*(E432/E433)</f>
        <v>240</v>
      </c>
      <c r="F429" s="3">
        <f t="shared" si="249"/>
        <v>223.56521739130434</v>
      </c>
      <c r="G429" s="3">
        <f t="shared" si="249"/>
        <v>173.08695652173913</v>
      </c>
      <c r="H429" s="3">
        <f t="shared" si="249"/>
        <v>240</v>
      </c>
      <c r="I429" s="3">
        <f t="shared" si="249"/>
        <v>240</v>
      </c>
      <c r="J429" s="3">
        <f t="shared" si="249"/>
        <v>193.29729729729729</v>
      </c>
      <c r="K429" s="3">
        <f t="shared" si="249"/>
        <v>105</v>
      </c>
      <c r="L429" s="19"/>
      <c r="M429" s="10" t="s">
        <v>8</v>
      </c>
      <c r="N429" s="10" t="s">
        <v>405</v>
      </c>
    </row>
    <row r="430" spans="1:14" ht="15" hidden="1" customHeight="1" outlineLevel="1" x14ac:dyDescent="0.2">
      <c r="A430" s="16"/>
      <c r="C430" s="1" t="s">
        <v>35</v>
      </c>
      <c r="D430" s="19"/>
      <c r="E430" s="39">
        <f t="shared" ref="E430:K430" si="250">E22</f>
        <v>240</v>
      </c>
      <c r="F430" s="39">
        <f t="shared" si="250"/>
        <v>240</v>
      </c>
      <c r="G430" s="39">
        <f t="shared" si="250"/>
        <v>240</v>
      </c>
      <c r="H430" s="39">
        <f t="shared" si="250"/>
        <v>240</v>
      </c>
      <c r="I430" s="39">
        <f t="shared" si="250"/>
        <v>240</v>
      </c>
      <c r="J430" s="39">
        <f t="shared" si="250"/>
        <v>240</v>
      </c>
      <c r="K430" s="39">
        <f t="shared" si="250"/>
        <v>240</v>
      </c>
      <c r="L430" s="19"/>
      <c r="M430" s="21" t="s">
        <v>8</v>
      </c>
      <c r="N430" s="10" t="s">
        <v>371</v>
      </c>
    </row>
    <row r="431" spans="1:14" ht="15" hidden="1" customHeight="1" outlineLevel="1" x14ac:dyDescent="0.2">
      <c r="A431" s="16"/>
      <c r="C431" s="1" t="s">
        <v>38</v>
      </c>
      <c r="D431" s="19"/>
      <c r="E431" s="39">
        <f t="shared" ref="E431:K431" si="251">E24</f>
        <v>105</v>
      </c>
      <c r="F431" s="39">
        <f t="shared" si="251"/>
        <v>105</v>
      </c>
      <c r="G431" s="39">
        <f t="shared" si="251"/>
        <v>105</v>
      </c>
      <c r="H431" s="39">
        <f t="shared" si="251"/>
        <v>105</v>
      </c>
      <c r="I431" s="39">
        <f t="shared" si="251"/>
        <v>105</v>
      </c>
      <c r="J431" s="39">
        <f t="shared" si="251"/>
        <v>105</v>
      </c>
      <c r="K431" s="39">
        <f t="shared" si="251"/>
        <v>105</v>
      </c>
      <c r="L431" s="19"/>
      <c r="M431" s="21" t="s">
        <v>8</v>
      </c>
      <c r="N431" s="10" t="s">
        <v>371</v>
      </c>
    </row>
    <row r="432" spans="1:14" ht="15" hidden="1" customHeight="1" outlineLevel="1" x14ac:dyDescent="0.2">
      <c r="A432" s="16"/>
      <c r="C432" s="1" t="s">
        <v>40</v>
      </c>
      <c r="D432" s="19"/>
      <c r="E432" s="40">
        <v>0</v>
      </c>
      <c r="F432" s="40">
        <f>2*2*F44*F34</f>
        <v>2800</v>
      </c>
      <c r="G432" s="40">
        <f>2*G44*G34+(2*G42+G34)*G30+(2*G43+G34)*G32</f>
        <v>11400</v>
      </c>
      <c r="H432" s="40">
        <v>0</v>
      </c>
      <c r="I432" s="40">
        <v>0</v>
      </c>
      <c r="J432" s="40">
        <f>2*J44*J34+(2*J42+J34)*J30+(2*J43+J34)*J32</f>
        <v>6400</v>
      </c>
      <c r="K432" s="40">
        <f>2*K44*K34+(2*K42+K34)*K30+(2*K43+K34)*K32</f>
        <v>47500</v>
      </c>
      <c r="L432" s="19"/>
      <c r="M432" s="21" t="s">
        <v>213</v>
      </c>
      <c r="N432" s="10" t="s">
        <v>373</v>
      </c>
    </row>
    <row r="433" spans="1:14" ht="15" hidden="1" customHeight="1" outlineLevel="1" x14ac:dyDescent="0.2">
      <c r="A433" s="16"/>
      <c r="C433" s="1" t="s">
        <v>34</v>
      </c>
      <c r="D433" s="19"/>
      <c r="E433" s="39">
        <f t="shared" ref="E433:K433" si="252">E72</f>
        <v>23000</v>
      </c>
      <c r="F433" s="39">
        <f t="shared" si="252"/>
        <v>23000</v>
      </c>
      <c r="G433" s="39">
        <f t="shared" si="252"/>
        <v>23000</v>
      </c>
      <c r="H433" s="39">
        <f t="shared" si="252"/>
        <v>15200</v>
      </c>
      <c r="I433" s="39">
        <f t="shared" si="252"/>
        <v>18500</v>
      </c>
      <c r="J433" s="39">
        <f t="shared" si="252"/>
        <v>18500</v>
      </c>
      <c r="K433" s="39">
        <f t="shared" si="252"/>
        <v>47500</v>
      </c>
      <c r="L433" s="19"/>
      <c r="M433" s="21" t="s">
        <v>213</v>
      </c>
      <c r="N433" s="10" t="s">
        <v>373</v>
      </c>
    </row>
    <row r="434" spans="1:14" ht="15" hidden="1" customHeight="1" outlineLevel="1" x14ac:dyDescent="0.2"/>
    <row r="435" spans="1:14" ht="15" hidden="1" customHeight="1" outlineLevel="1" x14ac:dyDescent="0.2">
      <c r="A435" s="31" t="s">
        <v>158</v>
      </c>
      <c r="C435" s="1"/>
      <c r="D435" s="37"/>
      <c r="E435" s="38"/>
      <c r="F435" s="38"/>
      <c r="G435" s="38"/>
      <c r="H435" s="38"/>
      <c r="I435" s="38"/>
      <c r="J435" s="38"/>
      <c r="K435" s="38"/>
      <c r="L435" s="37"/>
      <c r="M435" s="16"/>
      <c r="N435" s="10" t="s">
        <v>369</v>
      </c>
    </row>
    <row r="436" spans="1:14" ht="15" hidden="1" customHeight="1" outlineLevel="1" x14ac:dyDescent="0.2">
      <c r="A436" s="33"/>
      <c r="B436" s="21" t="s">
        <v>160</v>
      </c>
      <c r="C436" s="1"/>
      <c r="D436" s="19"/>
      <c r="E436" s="35">
        <f t="shared" ref="E436:K436" si="253">SQRT(E437/E438)*SQRT(E439*E440)/(E441*(0.04*E442+E443/E440^2))^(1/4)</f>
        <v>60.144724932155192</v>
      </c>
      <c r="F436" s="35">
        <f t="shared" si="253"/>
        <v>60.144724932155192</v>
      </c>
      <c r="G436" s="35">
        <f t="shared" si="253"/>
        <v>60.144724932155192</v>
      </c>
      <c r="H436" s="35">
        <f t="shared" si="253"/>
        <v>56.304538030875271</v>
      </c>
      <c r="I436" s="54">
        <f t="shared" si="253"/>
        <v>69.650693149482038</v>
      </c>
      <c r="J436" s="35">
        <f t="shared" si="253"/>
        <v>69.650693149482038</v>
      </c>
      <c r="K436" s="35">
        <f t="shared" si="253"/>
        <v>30.765748324895814</v>
      </c>
      <c r="L436" s="19"/>
      <c r="M436" s="21"/>
      <c r="N436" s="10" t="s">
        <v>406</v>
      </c>
    </row>
    <row r="437" spans="1:14" ht="15" hidden="1" customHeight="1" outlineLevel="1" x14ac:dyDescent="0.2">
      <c r="A437" s="33"/>
      <c r="C437" s="1" t="s">
        <v>41</v>
      </c>
      <c r="D437" s="19"/>
      <c r="E437" s="7">
        <f t="shared" ref="E437:K438" si="254">E38</f>
        <v>1.4</v>
      </c>
      <c r="F437" s="7">
        <f t="shared" si="254"/>
        <v>1.4</v>
      </c>
      <c r="G437" s="7">
        <f t="shared" si="254"/>
        <v>1.4</v>
      </c>
      <c r="H437" s="7">
        <f t="shared" si="254"/>
        <v>1.4</v>
      </c>
      <c r="I437" s="7">
        <f t="shared" si="254"/>
        <v>1.4</v>
      </c>
      <c r="J437" s="7">
        <f t="shared" si="254"/>
        <v>1.4</v>
      </c>
      <c r="K437" s="7">
        <f t="shared" si="254"/>
        <v>1.4</v>
      </c>
      <c r="L437" s="19"/>
      <c r="M437" s="21"/>
      <c r="N437" s="10" t="s">
        <v>369</v>
      </c>
    </row>
    <row r="438" spans="1:14" ht="15" hidden="1" customHeight="1" outlineLevel="1" x14ac:dyDescent="0.2">
      <c r="A438" s="33"/>
      <c r="C438" s="1" t="s">
        <v>163</v>
      </c>
      <c r="D438" s="19"/>
      <c r="E438" s="7">
        <f t="shared" si="254"/>
        <v>1</v>
      </c>
      <c r="F438" s="7">
        <f t="shared" si="254"/>
        <v>1</v>
      </c>
      <c r="G438" s="7">
        <f t="shared" si="254"/>
        <v>1</v>
      </c>
      <c r="H438" s="7">
        <f t="shared" si="254"/>
        <v>1</v>
      </c>
      <c r="I438" s="7">
        <f t="shared" si="254"/>
        <v>1</v>
      </c>
      <c r="J438" s="7">
        <f t="shared" si="254"/>
        <v>1</v>
      </c>
      <c r="K438" s="7">
        <f t="shared" si="254"/>
        <v>1</v>
      </c>
      <c r="L438" s="19"/>
      <c r="M438" s="21"/>
      <c r="N438" s="10" t="s">
        <v>369</v>
      </c>
    </row>
    <row r="439" spans="1:14" ht="15" hidden="1" customHeight="1" outlineLevel="1" x14ac:dyDescent="0.2">
      <c r="A439" s="33"/>
      <c r="C439" s="1" t="s">
        <v>161</v>
      </c>
      <c r="D439" s="19"/>
      <c r="E439" s="26">
        <f t="shared" ref="E439:K439" si="255">MIN(E78:E79)</f>
        <v>4563690.4761904757</v>
      </c>
      <c r="F439" s="26">
        <f t="shared" si="255"/>
        <v>4563690.4761904757</v>
      </c>
      <c r="G439" s="26">
        <f t="shared" si="255"/>
        <v>4563690.4761904757</v>
      </c>
      <c r="H439" s="26">
        <f t="shared" si="255"/>
        <v>3779047.6190476185</v>
      </c>
      <c r="I439" s="26">
        <f t="shared" si="255"/>
        <v>3152752.9761904757</v>
      </c>
      <c r="J439" s="26">
        <f t="shared" si="255"/>
        <v>3152752.9761904757</v>
      </c>
      <c r="K439" s="26">
        <f t="shared" si="255"/>
        <v>14755166.666666668</v>
      </c>
      <c r="L439" s="19"/>
      <c r="M439" s="21" t="s">
        <v>214</v>
      </c>
      <c r="N439" s="1"/>
    </row>
    <row r="440" spans="1:14" ht="15" hidden="1" customHeight="1" outlineLevel="1" x14ac:dyDescent="0.2">
      <c r="A440" s="33"/>
      <c r="C440" s="1" t="s">
        <v>4</v>
      </c>
      <c r="D440" s="19"/>
      <c r="E440" s="39">
        <f t="shared" ref="E440:K440" si="256">E36</f>
        <v>2700</v>
      </c>
      <c r="F440" s="39">
        <f t="shared" si="256"/>
        <v>2700</v>
      </c>
      <c r="G440" s="39">
        <f t="shared" si="256"/>
        <v>2700</v>
      </c>
      <c r="H440" s="39">
        <f t="shared" si="256"/>
        <v>2700</v>
      </c>
      <c r="I440" s="39">
        <f t="shared" si="256"/>
        <v>2700</v>
      </c>
      <c r="J440" s="39">
        <f t="shared" si="256"/>
        <v>2700</v>
      </c>
      <c r="K440" s="39">
        <f t="shared" si="256"/>
        <v>2700</v>
      </c>
      <c r="L440" s="19"/>
      <c r="M440" s="21" t="s">
        <v>0</v>
      </c>
      <c r="N440" s="10" t="s">
        <v>373</v>
      </c>
    </row>
    <row r="441" spans="1:14" ht="15" hidden="1" customHeight="1" outlineLevel="1" x14ac:dyDescent="0.2">
      <c r="A441" s="33"/>
      <c r="C441" s="1" t="s">
        <v>32</v>
      </c>
      <c r="D441" s="19"/>
      <c r="E441" s="26">
        <f t="shared" ref="E441:K441" si="257">E80</f>
        <v>33766666.666666664</v>
      </c>
      <c r="F441" s="26">
        <f t="shared" si="257"/>
        <v>33766666.666666664</v>
      </c>
      <c r="G441" s="26">
        <f t="shared" si="257"/>
        <v>33766666.666666664</v>
      </c>
      <c r="H441" s="26">
        <f t="shared" si="257"/>
        <v>33361066.666666664</v>
      </c>
      <c r="I441" s="26">
        <f t="shared" si="257"/>
        <v>17116666.666666664</v>
      </c>
      <c r="J441" s="26">
        <f t="shared" si="257"/>
        <v>17116666.666666664</v>
      </c>
      <c r="K441" s="26">
        <f t="shared" si="257"/>
        <v>321223958.33333331</v>
      </c>
      <c r="L441" s="19"/>
      <c r="M441" s="10" t="s">
        <v>306</v>
      </c>
      <c r="N441" s="1"/>
    </row>
    <row r="442" spans="1:14" ht="15" hidden="1" customHeight="1" outlineLevel="1" x14ac:dyDescent="0.2">
      <c r="A442" s="33"/>
      <c r="C442" s="1" t="s">
        <v>145</v>
      </c>
      <c r="D442" s="19"/>
      <c r="E442" s="26">
        <f t="shared" ref="E442:K442" si="258">E84</f>
        <v>3816666.6666666665</v>
      </c>
      <c r="F442" s="26">
        <f t="shared" si="258"/>
        <v>3816666.6666666665</v>
      </c>
      <c r="G442" s="26">
        <f t="shared" si="258"/>
        <v>3816666.6666666665</v>
      </c>
      <c r="H442" s="26">
        <f t="shared" si="258"/>
        <v>2194266.6666666665</v>
      </c>
      <c r="I442" s="26">
        <f t="shared" si="258"/>
        <v>2060416.6666666667</v>
      </c>
      <c r="J442" s="26">
        <f t="shared" si="258"/>
        <v>2060416.6666666667</v>
      </c>
      <c r="K442" s="26">
        <f t="shared" si="258"/>
        <v>12095833.333333334</v>
      </c>
      <c r="L442" s="19"/>
      <c r="M442" s="10" t="s">
        <v>306</v>
      </c>
      <c r="N442" s="10" t="s">
        <v>152</v>
      </c>
    </row>
    <row r="443" spans="1:14" ht="15" hidden="1" customHeight="1" outlineLevel="1" x14ac:dyDescent="0.2">
      <c r="A443" s="33"/>
      <c r="C443" s="1" t="s">
        <v>150</v>
      </c>
      <c r="D443" s="19"/>
      <c r="E443" s="26">
        <f t="shared" ref="E443:K443" si="259">E89</f>
        <v>3796875000000</v>
      </c>
      <c r="F443" s="26">
        <f t="shared" si="259"/>
        <v>3796875000000</v>
      </c>
      <c r="G443" s="26">
        <f t="shared" si="259"/>
        <v>3796875000000</v>
      </c>
      <c r="H443" s="26">
        <f t="shared" si="259"/>
        <v>3796875000000</v>
      </c>
      <c r="I443" s="26">
        <f t="shared" si="259"/>
        <v>1969401041666.6665</v>
      </c>
      <c r="J443" s="26">
        <f t="shared" si="259"/>
        <v>1969401041666.6665</v>
      </c>
      <c r="K443" s="26">
        <f t="shared" si="259"/>
        <v>75272000000000</v>
      </c>
      <c r="L443" s="19"/>
      <c r="M443" s="10" t="s">
        <v>307</v>
      </c>
      <c r="N443" s="10" t="s">
        <v>154</v>
      </c>
    </row>
    <row r="444" spans="1:14" ht="15" customHeight="1" collapsed="1" x14ac:dyDescent="0.2">
      <c r="A444" s="16"/>
      <c r="B444" s="21"/>
      <c r="C444" s="1"/>
      <c r="D444" s="19"/>
      <c r="E444" s="36"/>
      <c r="F444" s="36"/>
      <c r="G444" s="36"/>
      <c r="H444" s="36"/>
      <c r="I444" s="36"/>
      <c r="J444" s="36"/>
      <c r="K444" s="36"/>
      <c r="L444" s="19"/>
      <c r="M444" s="21"/>
      <c r="N444" s="1"/>
    </row>
    <row r="445" spans="1:14" ht="15" customHeight="1" x14ac:dyDescent="0.2">
      <c r="A445" s="16"/>
      <c r="B445" s="21"/>
      <c r="C445" s="1"/>
      <c r="D445" s="19"/>
      <c r="E445" s="36"/>
      <c r="F445" s="36"/>
      <c r="G445" s="36"/>
      <c r="H445" s="36"/>
      <c r="I445" s="36"/>
      <c r="J445" s="36"/>
      <c r="K445" s="36"/>
      <c r="L445" s="19"/>
      <c r="M445" s="21"/>
      <c r="N445" s="1"/>
    </row>
    <row r="446" spans="1:14" ht="15" customHeight="1" x14ac:dyDescent="0.2">
      <c r="A446" s="15" t="s">
        <v>364</v>
      </c>
      <c r="C446" s="11"/>
      <c r="N446" s="10" t="s">
        <v>368</v>
      </c>
    </row>
    <row r="447" spans="1:14" ht="15" hidden="1" customHeight="1" outlineLevel="1" x14ac:dyDescent="0.2">
      <c r="C447" s="11"/>
    </row>
    <row r="448" spans="1:14" ht="15" hidden="1" customHeight="1" outlineLevel="1" x14ac:dyDescent="0.2">
      <c r="A448" s="17" t="s">
        <v>339</v>
      </c>
      <c r="C448" s="11"/>
      <c r="N448" s="10" t="s">
        <v>382</v>
      </c>
    </row>
    <row r="449" spans="1:14" ht="15" hidden="1" customHeight="1" outlineLevel="1" x14ac:dyDescent="0.2">
      <c r="A449" s="16"/>
      <c r="B449" s="21" t="s">
        <v>116</v>
      </c>
      <c r="C449" s="11"/>
      <c r="D449" s="19"/>
      <c r="E449" s="40">
        <f t="shared" ref="E449:K449" si="260">E450*E455</f>
        <v>240</v>
      </c>
      <c r="F449" s="40">
        <f t="shared" si="260"/>
        <v>240</v>
      </c>
      <c r="G449" s="40">
        <f t="shared" si="260"/>
        <v>240</v>
      </c>
      <c r="H449" s="40">
        <f t="shared" si="260"/>
        <v>240</v>
      </c>
      <c r="I449" s="40">
        <f t="shared" si="260"/>
        <v>218.31567478593567</v>
      </c>
      <c r="J449" s="54">
        <f t="shared" si="260"/>
        <v>202.53545444267749</v>
      </c>
      <c r="K449" s="40">
        <f t="shared" si="260"/>
        <v>223.11869249789967</v>
      </c>
      <c r="L449" s="19"/>
      <c r="M449" s="1" t="s">
        <v>8</v>
      </c>
      <c r="N449" s="10" t="s">
        <v>400</v>
      </c>
    </row>
    <row r="450" spans="1:14" ht="15" hidden="1" customHeight="1" outlineLevel="1" x14ac:dyDescent="0.2">
      <c r="A450" s="16"/>
      <c r="B450" s="21" t="s">
        <v>55</v>
      </c>
      <c r="C450" s="1"/>
      <c r="D450" s="19"/>
      <c r="E450" s="29">
        <f t="shared" ref="E450:K450" si="261">MIN(1,E451-SQRT(E451^2-1/E454^2))</f>
        <v>1</v>
      </c>
      <c r="F450" s="29">
        <f t="shared" si="261"/>
        <v>1</v>
      </c>
      <c r="G450" s="29">
        <f t="shared" si="261"/>
        <v>1</v>
      </c>
      <c r="H450" s="29">
        <f t="shared" si="261"/>
        <v>1</v>
      </c>
      <c r="I450" s="58">
        <f t="shared" si="261"/>
        <v>0.90964864494139863</v>
      </c>
      <c r="J450" s="29">
        <f t="shared" si="261"/>
        <v>0.84389772684448949</v>
      </c>
      <c r="K450" s="29">
        <f t="shared" si="261"/>
        <v>0.92966121874124863</v>
      </c>
      <c r="L450" s="19"/>
      <c r="M450" s="21"/>
      <c r="N450" s="10" t="s">
        <v>375</v>
      </c>
    </row>
    <row r="451" spans="1:14" ht="15" hidden="1" customHeight="1" outlineLevel="1" x14ac:dyDescent="0.2">
      <c r="A451" s="16"/>
      <c r="B451" s="21" t="s">
        <v>56</v>
      </c>
      <c r="C451" s="1"/>
      <c r="D451" s="19"/>
      <c r="E451" s="29">
        <f t="shared" ref="E451:K451" si="262">(1+E452*(E454-E453)+E454^2)/(2*E454^2)</f>
        <v>4.0067284878410696</v>
      </c>
      <c r="F451" s="29">
        <f t="shared" si="262"/>
        <v>4.0067284878410696</v>
      </c>
      <c r="G451" s="29">
        <f t="shared" si="262"/>
        <v>3.9151637044516456</v>
      </c>
      <c r="H451" s="29">
        <f t="shared" si="262"/>
        <v>4.0067284878410696</v>
      </c>
      <c r="I451" s="29">
        <f t="shared" si="262"/>
        <v>1.4437482578936738</v>
      </c>
      <c r="J451" s="29">
        <f t="shared" si="262"/>
        <v>1.4879231979797238</v>
      </c>
      <c r="K451" s="29">
        <f t="shared" si="262"/>
        <v>1.8582259145947324</v>
      </c>
      <c r="L451" s="19"/>
      <c r="M451" s="21"/>
      <c r="N451" s="10" t="s">
        <v>375</v>
      </c>
    </row>
    <row r="452" spans="1:14" ht="15" hidden="1" customHeight="1" outlineLevel="1" x14ac:dyDescent="0.2">
      <c r="A452" s="16"/>
      <c r="C452" s="1" t="s">
        <v>196</v>
      </c>
      <c r="D452" s="19"/>
      <c r="E452" s="44">
        <f t="shared" ref="E452:K452" si="263">E46</f>
        <v>0.2</v>
      </c>
      <c r="F452" s="44">
        <f t="shared" si="263"/>
        <v>0.2</v>
      </c>
      <c r="G452" s="44">
        <f t="shared" si="263"/>
        <v>0.4</v>
      </c>
      <c r="H452" s="44">
        <f t="shared" si="263"/>
        <v>0.2</v>
      </c>
      <c r="I452" s="44">
        <f t="shared" si="263"/>
        <v>0.2</v>
      </c>
      <c r="J452" s="44">
        <f t="shared" si="263"/>
        <v>0.4</v>
      </c>
      <c r="K452" s="44">
        <f t="shared" si="263"/>
        <v>0.4</v>
      </c>
      <c r="L452" s="19"/>
      <c r="M452" s="21"/>
      <c r="N452" s="10" t="s">
        <v>375</v>
      </c>
    </row>
    <row r="453" spans="1:14" ht="15" hidden="1" customHeight="1" outlineLevel="1" x14ac:dyDescent="0.2">
      <c r="A453" s="16"/>
      <c r="C453" s="1" t="s">
        <v>50</v>
      </c>
      <c r="D453" s="19"/>
      <c r="E453" s="7">
        <v>0.5</v>
      </c>
      <c r="F453" s="7">
        <v>0.5</v>
      </c>
      <c r="G453" s="7">
        <v>0.5</v>
      </c>
      <c r="H453" s="7">
        <v>0.5</v>
      </c>
      <c r="I453" s="7">
        <v>0.5</v>
      </c>
      <c r="J453" s="7">
        <v>0.5</v>
      </c>
      <c r="K453" s="7">
        <v>0.5</v>
      </c>
      <c r="L453" s="19"/>
      <c r="M453" s="21"/>
      <c r="N453" s="10" t="s">
        <v>375</v>
      </c>
    </row>
    <row r="454" spans="1:14" ht="15" hidden="1" customHeight="1" outlineLevel="1" x14ac:dyDescent="0.2">
      <c r="A454" s="16"/>
      <c r="B454" s="21" t="s">
        <v>115</v>
      </c>
      <c r="C454" s="1"/>
      <c r="D454" s="19"/>
      <c r="E454" s="29">
        <f t="shared" ref="E454:K454" si="264">E457/PI()*SQRT(E455/E456)</f>
        <v>0.37276636937640073</v>
      </c>
      <c r="F454" s="29">
        <f t="shared" si="264"/>
        <v>0.37276636937640073</v>
      </c>
      <c r="G454" s="29">
        <f t="shared" si="264"/>
        <v>0.37276636937640073</v>
      </c>
      <c r="H454" s="29">
        <f t="shared" si="264"/>
        <v>0.37276636937640073</v>
      </c>
      <c r="I454" s="55">
        <f t="shared" si="264"/>
        <v>0.74553273875280146</v>
      </c>
      <c r="J454" s="29">
        <f t="shared" si="264"/>
        <v>0.74553273875280146</v>
      </c>
      <c r="K454" s="29">
        <f t="shared" si="264"/>
        <v>0.62127728229400125</v>
      </c>
      <c r="L454" s="19"/>
      <c r="M454" s="21"/>
      <c r="N454" s="10" t="s">
        <v>383</v>
      </c>
    </row>
    <row r="455" spans="1:14" ht="15" hidden="1" customHeight="1" outlineLevel="1" x14ac:dyDescent="0.2">
      <c r="A455" s="16"/>
      <c r="C455" s="1" t="s">
        <v>113</v>
      </c>
      <c r="D455" s="19"/>
      <c r="E455" s="39">
        <f t="shared" ref="E455:K455" si="265">E22</f>
        <v>240</v>
      </c>
      <c r="F455" s="39">
        <f t="shared" si="265"/>
        <v>240</v>
      </c>
      <c r="G455" s="39">
        <f t="shared" si="265"/>
        <v>240</v>
      </c>
      <c r="H455" s="39">
        <f t="shared" si="265"/>
        <v>240</v>
      </c>
      <c r="I455" s="39">
        <f t="shared" si="265"/>
        <v>240</v>
      </c>
      <c r="J455" s="39">
        <f t="shared" si="265"/>
        <v>240</v>
      </c>
      <c r="K455" s="39">
        <f t="shared" si="265"/>
        <v>240</v>
      </c>
      <c r="L455" s="19"/>
      <c r="M455" s="21" t="s">
        <v>8</v>
      </c>
      <c r="N455" s="10" t="s">
        <v>384</v>
      </c>
    </row>
    <row r="456" spans="1:14" ht="15" hidden="1" customHeight="1" outlineLevel="1" x14ac:dyDescent="0.2">
      <c r="A456" s="16"/>
      <c r="C456" s="1" t="s">
        <v>29</v>
      </c>
      <c r="D456" s="19"/>
      <c r="E456" s="35">
        <f t="shared" ref="E456:K456" si="266">E25</f>
        <v>70000</v>
      </c>
      <c r="F456" s="35">
        <f t="shared" si="266"/>
        <v>70000</v>
      </c>
      <c r="G456" s="35">
        <f t="shared" si="266"/>
        <v>70000</v>
      </c>
      <c r="H456" s="35">
        <f t="shared" si="266"/>
        <v>70000</v>
      </c>
      <c r="I456" s="35">
        <f t="shared" si="266"/>
        <v>70000</v>
      </c>
      <c r="J456" s="35">
        <f t="shared" si="266"/>
        <v>70000</v>
      </c>
      <c r="K456" s="35">
        <f t="shared" si="266"/>
        <v>70000</v>
      </c>
      <c r="L456" s="19"/>
      <c r="M456" s="21" t="s">
        <v>8</v>
      </c>
      <c r="N456" s="10" t="s">
        <v>372</v>
      </c>
    </row>
    <row r="457" spans="1:14" ht="15" hidden="1" customHeight="1" outlineLevel="1" x14ac:dyDescent="0.2">
      <c r="A457" s="16"/>
      <c r="B457" s="21" t="s">
        <v>114</v>
      </c>
      <c r="C457" s="1"/>
      <c r="D457" s="19"/>
      <c r="E457" s="35">
        <f t="shared" ref="E457:K457" si="267">E458*E459/E460</f>
        <v>20</v>
      </c>
      <c r="F457" s="35">
        <f t="shared" si="267"/>
        <v>20</v>
      </c>
      <c r="G457" s="35">
        <f t="shared" si="267"/>
        <v>20</v>
      </c>
      <c r="H457" s="35">
        <f t="shared" si="267"/>
        <v>20</v>
      </c>
      <c r="I457" s="35">
        <f t="shared" si="267"/>
        <v>40</v>
      </c>
      <c r="J457" s="35">
        <f t="shared" si="267"/>
        <v>40</v>
      </c>
      <c r="K457" s="35">
        <f t="shared" si="267"/>
        <v>33.333333333333336</v>
      </c>
      <c r="L457" s="19"/>
      <c r="M457" s="21"/>
      <c r="N457" s="10" t="s">
        <v>384</v>
      </c>
    </row>
    <row r="458" spans="1:14" ht="15" hidden="1" customHeight="1" outlineLevel="1" x14ac:dyDescent="0.2">
      <c r="A458" s="16"/>
      <c r="B458" s="21" t="s">
        <v>51</v>
      </c>
      <c r="C458" s="11"/>
      <c r="D458" s="19"/>
      <c r="E458" s="4">
        <f t="shared" ref="E458:K458" si="268">MIN(5,3+0.6*E461*E460/E459/E462)</f>
        <v>5</v>
      </c>
      <c r="F458" s="4">
        <f t="shared" si="268"/>
        <v>5</v>
      </c>
      <c r="G458" s="4">
        <f t="shared" si="268"/>
        <v>5</v>
      </c>
      <c r="H458" s="4">
        <f t="shared" si="268"/>
        <v>5</v>
      </c>
      <c r="I458" s="4">
        <f t="shared" si="268"/>
        <v>5</v>
      </c>
      <c r="J458" s="4">
        <f t="shared" si="268"/>
        <v>5</v>
      </c>
      <c r="K458" s="4">
        <f t="shared" si="268"/>
        <v>5</v>
      </c>
      <c r="L458" s="19"/>
      <c r="M458" s="21"/>
      <c r="N458" s="10" t="s">
        <v>407</v>
      </c>
    </row>
    <row r="459" spans="1:14" ht="15" hidden="1" customHeight="1" outlineLevel="1" x14ac:dyDescent="0.2">
      <c r="A459" s="16"/>
      <c r="C459" s="1" t="s">
        <v>110</v>
      </c>
      <c r="D459" s="19"/>
      <c r="E459" s="39">
        <f t="shared" ref="E459:K459" si="269">E31/2</f>
        <v>100</v>
      </c>
      <c r="F459" s="39">
        <f t="shared" si="269"/>
        <v>100</v>
      </c>
      <c r="G459" s="39">
        <f t="shared" si="269"/>
        <v>100</v>
      </c>
      <c r="H459" s="39">
        <f t="shared" si="269"/>
        <v>100</v>
      </c>
      <c r="I459" s="39">
        <f t="shared" si="269"/>
        <v>100</v>
      </c>
      <c r="J459" s="39">
        <f t="shared" si="269"/>
        <v>100</v>
      </c>
      <c r="K459" s="39">
        <f t="shared" si="269"/>
        <v>200</v>
      </c>
      <c r="L459" s="19"/>
      <c r="M459" s="21" t="s">
        <v>0</v>
      </c>
      <c r="N459" s="10" t="s">
        <v>384</v>
      </c>
    </row>
    <row r="460" spans="1:14" ht="15" hidden="1" customHeight="1" outlineLevel="1" x14ac:dyDescent="0.2">
      <c r="A460" s="16"/>
      <c r="C460" s="1" t="s">
        <v>111</v>
      </c>
      <c r="D460" s="19"/>
      <c r="E460" s="7">
        <f t="shared" ref="E460:K460" si="270">E30</f>
        <v>25</v>
      </c>
      <c r="F460" s="7">
        <f t="shared" si="270"/>
        <v>25</v>
      </c>
      <c r="G460" s="7">
        <f t="shared" si="270"/>
        <v>25</v>
      </c>
      <c r="H460" s="7">
        <f t="shared" si="270"/>
        <v>25</v>
      </c>
      <c r="I460" s="7">
        <f t="shared" si="270"/>
        <v>12.5</v>
      </c>
      <c r="J460" s="7">
        <f t="shared" si="270"/>
        <v>12.5</v>
      </c>
      <c r="K460" s="7">
        <f t="shared" si="270"/>
        <v>30</v>
      </c>
      <c r="L460" s="19"/>
      <c r="M460" s="21" t="s">
        <v>0</v>
      </c>
      <c r="N460" s="10" t="s">
        <v>373</v>
      </c>
    </row>
    <row r="461" spans="1:14" ht="15" hidden="1" customHeight="1" outlineLevel="1" x14ac:dyDescent="0.2">
      <c r="A461" s="16"/>
      <c r="C461" s="1" t="s">
        <v>112</v>
      </c>
      <c r="D461" s="19"/>
      <c r="E461" s="39">
        <f t="shared" ref="E461:K461" si="271">E29-E30/2-E32/2</f>
        <v>675</v>
      </c>
      <c r="F461" s="39">
        <f t="shared" si="271"/>
        <v>675</v>
      </c>
      <c r="G461" s="39">
        <f t="shared" si="271"/>
        <v>675</v>
      </c>
      <c r="H461" s="39">
        <f t="shared" si="271"/>
        <v>675</v>
      </c>
      <c r="I461" s="39">
        <f t="shared" si="271"/>
        <v>687.5</v>
      </c>
      <c r="J461" s="39">
        <f t="shared" si="271"/>
        <v>687.5</v>
      </c>
      <c r="K461" s="39">
        <f t="shared" si="271"/>
        <v>970</v>
      </c>
      <c r="L461" s="19"/>
      <c r="M461" s="21" t="s">
        <v>0</v>
      </c>
      <c r="N461" s="10" t="s">
        <v>408</v>
      </c>
    </row>
    <row r="462" spans="1:14" ht="15" hidden="1" customHeight="1" outlineLevel="1" x14ac:dyDescent="0.2">
      <c r="A462" s="16"/>
      <c r="C462" s="1" t="s">
        <v>118</v>
      </c>
      <c r="D462" s="19"/>
      <c r="E462" s="7">
        <f t="shared" ref="E462:K462" si="272">E34</f>
        <v>20</v>
      </c>
      <c r="F462" s="7">
        <f t="shared" si="272"/>
        <v>20</v>
      </c>
      <c r="G462" s="7">
        <f t="shared" si="272"/>
        <v>20</v>
      </c>
      <c r="H462" s="7">
        <f t="shared" si="272"/>
        <v>8</v>
      </c>
      <c r="I462" s="7">
        <f t="shared" si="272"/>
        <v>20</v>
      </c>
      <c r="J462" s="7">
        <f t="shared" si="272"/>
        <v>20</v>
      </c>
      <c r="K462" s="7">
        <f t="shared" si="272"/>
        <v>25</v>
      </c>
      <c r="L462" s="19"/>
      <c r="M462" s="21" t="s">
        <v>0</v>
      </c>
      <c r="N462" s="10" t="s">
        <v>408</v>
      </c>
    </row>
    <row r="463" spans="1:14" ht="15" hidden="1" customHeight="1" outlineLevel="1" x14ac:dyDescent="0.2">
      <c r="C463" s="11"/>
    </row>
    <row r="464" spans="1:14" ht="15" hidden="1" customHeight="1" outlineLevel="1" x14ac:dyDescent="0.2">
      <c r="A464" s="17" t="s">
        <v>338</v>
      </c>
      <c r="C464" s="11"/>
      <c r="N464" s="10" t="s">
        <v>382</v>
      </c>
    </row>
    <row r="465" spans="1:14" ht="15" hidden="1" customHeight="1" outlineLevel="1" x14ac:dyDescent="0.2">
      <c r="A465" s="16"/>
      <c r="B465" s="21" t="s">
        <v>207</v>
      </c>
      <c r="C465" s="11"/>
      <c r="D465" s="19"/>
      <c r="E465" s="40">
        <f t="shared" ref="E465:J465" si="273">SQRT(E467)*E472</f>
        <v>240</v>
      </c>
      <c r="F465" s="40">
        <f t="shared" si="273"/>
        <v>240</v>
      </c>
      <c r="G465" s="40">
        <f t="shared" si="273"/>
        <v>240</v>
      </c>
      <c r="H465" s="40">
        <f t="shared" si="273"/>
        <v>202.37902734840625</v>
      </c>
      <c r="I465" s="40">
        <f t="shared" si="273"/>
        <v>240</v>
      </c>
      <c r="J465" s="40">
        <f t="shared" si="273"/>
        <v>240</v>
      </c>
      <c r="K465" s="40">
        <f>SQRT(K467)*K472</f>
        <v>240</v>
      </c>
      <c r="L465" s="19"/>
      <c r="M465" s="1" t="s">
        <v>8</v>
      </c>
      <c r="N465" s="10" t="s">
        <v>401</v>
      </c>
    </row>
    <row r="466" spans="1:14" ht="15" hidden="1" customHeight="1" outlineLevel="1" x14ac:dyDescent="0.2">
      <c r="A466" s="16"/>
      <c r="B466" s="21" t="s">
        <v>116</v>
      </c>
      <c r="C466" s="11"/>
      <c r="D466" s="19"/>
      <c r="E466" s="39">
        <f t="shared" ref="E466:K466" si="274">E467*E472</f>
        <v>240</v>
      </c>
      <c r="F466" s="39">
        <f t="shared" si="274"/>
        <v>240</v>
      </c>
      <c r="G466" s="39">
        <f t="shared" si="274"/>
        <v>240</v>
      </c>
      <c r="H466" s="39">
        <f t="shared" si="274"/>
        <v>170.65529462702904</v>
      </c>
      <c r="I466" s="39">
        <f t="shared" si="274"/>
        <v>240</v>
      </c>
      <c r="J466" s="39">
        <f t="shared" si="274"/>
        <v>240</v>
      </c>
      <c r="K466" s="39">
        <f t="shared" si="274"/>
        <v>240</v>
      </c>
      <c r="L466" s="19"/>
      <c r="M466" s="1" t="s">
        <v>8</v>
      </c>
      <c r="N466" s="10" t="s">
        <v>400</v>
      </c>
    </row>
    <row r="467" spans="1:14" ht="15" hidden="1" customHeight="1" outlineLevel="1" x14ac:dyDescent="0.2">
      <c r="A467" s="16"/>
      <c r="B467" s="21" t="s">
        <v>55</v>
      </c>
      <c r="C467" s="1"/>
      <c r="D467" s="19"/>
      <c r="E467" s="18">
        <f t="shared" ref="E467:K467" si="275">MIN(1,E468-SQRT(E468^2-1/E471^2))</f>
        <v>1</v>
      </c>
      <c r="F467" s="18">
        <f t="shared" si="275"/>
        <v>1</v>
      </c>
      <c r="G467" s="18">
        <f t="shared" si="275"/>
        <v>1</v>
      </c>
      <c r="H467" s="18">
        <f t="shared" si="275"/>
        <v>0.71106372761262104</v>
      </c>
      <c r="I467" s="18">
        <f t="shared" si="275"/>
        <v>1</v>
      </c>
      <c r="J467" s="18">
        <f t="shared" si="275"/>
        <v>1</v>
      </c>
      <c r="K467" s="18">
        <f t="shared" si="275"/>
        <v>1</v>
      </c>
      <c r="L467" s="19"/>
      <c r="M467" s="21"/>
      <c r="N467" s="10" t="s">
        <v>375</v>
      </c>
    </row>
    <row r="468" spans="1:14" ht="15" hidden="1" customHeight="1" outlineLevel="1" x14ac:dyDescent="0.2">
      <c r="A468" s="16"/>
      <c r="B468" s="21" t="s">
        <v>56</v>
      </c>
      <c r="C468" s="1"/>
      <c r="D468" s="19"/>
      <c r="E468" s="29">
        <f t="shared" ref="E468:K468" si="276">(1+E469*(E471-E470)+E471^2)/(2*E471^2)</f>
        <v>3.4362601068884446</v>
      </c>
      <c r="F468" s="29">
        <f t="shared" si="276"/>
        <v>3.3817552770149897</v>
      </c>
      <c r="G468" s="29">
        <f t="shared" si="276"/>
        <v>3.3817552770149897</v>
      </c>
      <c r="H468" s="29">
        <f t="shared" si="276"/>
        <v>1.0284988164148074</v>
      </c>
      <c r="I468" s="29">
        <f t="shared" si="276"/>
        <v>3.3348235839775366</v>
      </c>
      <c r="J468" s="29">
        <f t="shared" si="276"/>
        <v>3.2866486371789763</v>
      </c>
      <c r="K468" s="29">
        <f t="shared" si="276"/>
        <v>2.7358033107421371</v>
      </c>
      <c r="L468" s="19"/>
      <c r="M468" s="21"/>
      <c r="N468" s="10" t="s">
        <v>375</v>
      </c>
    </row>
    <row r="469" spans="1:14" ht="15" hidden="1" customHeight="1" outlineLevel="1" x14ac:dyDescent="0.2">
      <c r="A469" s="16"/>
      <c r="C469" s="1" t="s">
        <v>199</v>
      </c>
      <c r="D469" s="19"/>
      <c r="E469" s="44">
        <f t="shared" ref="E469:K469" si="277">E48</f>
        <v>0.2</v>
      </c>
      <c r="F469" s="44">
        <f t="shared" si="277"/>
        <v>0.4</v>
      </c>
      <c r="G469" s="44">
        <f t="shared" si="277"/>
        <v>0.4</v>
      </c>
      <c r="H469" s="44">
        <f t="shared" si="277"/>
        <v>0.2</v>
      </c>
      <c r="I469" s="44">
        <f t="shared" si="277"/>
        <v>0.2</v>
      </c>
      <c r="J469" s="44">
        <f t="shared" si="277"/>
        <v>0.4</v>
      </c>
      <c r="K469" s="44">
        <f t="shared" si="277"/>
        <v>0.4</v>
      </c>
      <c r="L469" s="19"/>
      <c r="M469" s="21"/>
      <c r="N469" s="10" t="s">
        <v>375</v>
      </c>
    </row>
    <row r="470" spans="1:14" ht="15" hidden="1" customHeight="1" outlineLevel="1" x14ac:dyDescent="0.2">
      <c r="A470" s="16"/>
      <c r="C470" s="1" t="s">
        <v>50</v>
      </c>
      <c r="D470" s="19"/>
      <c r="E470" s="7">
        <v>0.5</v>
      </c>
      <c r="F470" s="7">
        <v>0.5</v>
      </c>
      <c r="G470" s="7">
        <v>0.5</v>
      </c>
      <c r="H470" s="7">
        <v>0.5</v>
      </c>
      <c r="I470" s="7">
        <v>0.5</v>
      </c>
      <c r="J470" s="7">
        <v>0.5</v>
      </c>
      <c r="K470" s="7">
        <v>0.5</v>
      </c>
      <c r="L470" s="19"/>
      <c r="M470" s="21"/>
      <c r="N470" s="10" t="s">
        <v>375</v>
      </c>
    </row>
    <row r="471" spans="1:14" ht="15" hidden="1" customHeight="1" outlineLevel="1" x14ac:dyDescent="0.2">
      <c r="A471" s="16"/>
      <c r="B471" s="21" t="s">
        <v>115</v>
      </c>
      <c r="C471" s="1"/>
      <c r="D471" s="19"/>
      <c r="E471" s="29">
        <f t="shared" ref="E471:K471" si="278">E474/PI()*SQRT(E472/E473)</f>
        <v>0.40887811140973951</v>
      </c>
      <c r="F471" s="29">
        <f t="shared" si="278"/>
        <v>0.40887811140973951</v>
      </c>
      <c r="G471" s="29">
        <f t="shared" si="278"/>
        <v>0.40887811140973951</v>
      </c>
      <c r="H471" s="29">
        <f t="shared" si="278"/>
        <v>1.0221952785243489</v>
      </c>
      <c r="I471" s="55">
        <f t="shared" si="278"/>
        <v>0.41644992828769772</v>
      </c>
      <c r="J471" s="29">
        <f t="shared" si="278"/>
        <v>0.41644992828769772</v>
      </c>
      <c r="K471" s="29">
        <f t="shared" si="278"/>
        <v>0.47005839178364134</v>
      </c>
      <c r="L471" s="19"/>
      <c r="M471" s="21"/>
      <c r="N471" s="10" t="s">
        <v>383</v>
      </c>
    </row>
    <row r="472" spans="1:14" ht="15" hidden="1" customHeight="1" outlineLevel="1" x14ac:dyDescent="0.2">
      <c r="A472" s="16"/>
      <c r="C472" s="1" t="s">
        <v>113</v>
      </c>
      <c r="D472" s="19"/>
      <c r="E472" s="39">
        <f t="shared" ref="E472:K472" si="279">E22</f>
        <v>240</v>
      </c>
      <c r="F472" s="39">
        <f t="shared" si="279"/>
        <v>240</v>
      </c>
      <c r="G472" s="39">
        <f t="shared" si="279"/>
        <v>240</v>
      </c>
      <c r="H472" s="39">
        <f t="shared" si="279"/>
        <v>240</v>
      </c>
      <c r="I472" s="39">
        <f t="shared" si="279"/>
        <v>240</v>
      </c>
      <c r="J472" s="39">
        <f t="shared" si="279"/>
        <v>240</v>
      </c>
      <c r="K472" s="39">
        <f t="shared" si="279"/>
        <v>240</v>
      </c>
      <c r="L472" s="19"/>
      <c r="M472" s="21" t="s">
        <v>8</v>
      </c>
      <c r="N472" s="10" t="s">
        <v>384</v>
      </c>
    </row>
    <row r="473" spans="1:14" ht="15" hidden="1" customHeight="1" outlineLevel="1" x14ac:dyDescent="0.2">
      <c r="A473" s="16"/>
      <c r="C473" s="1" t="s">
        <v>29</v>
      </c>
      <c r="D473" s="19"/>
      <c r="E473" s="35">
        <f t="shared" ref="E473:K473" si="280">E25</f>
        <v>70000</v>
      </c>
      <c r="F473" s="35">
        <f t="shared" si="280"/>
        <v>70000</v>
      </c>
      <c r="G473" s="35">
        <f t="shared" si="280"/>
        <v>70000</v>
      </c>
      <c r="H473" s="35">
        <f t="shared" si="280"/>
        <v>70000</v>
      </c>
      <c r="I473" s="35">
        <f t="shared" si="280"/>
        <v>70000</v>
      </c>
      <c r="J473" s="35">
        <f t="shared" si="280"/>
        <v>70000</v>
      </c>
      <c r="K473" s="35">
        <f t="shared" si="280"/>
        <v>70000</v>
      </c>
      <c r="L473" s="19"/>
      <c r="M473" s="21" t="s">
        <v>8</v>
      </c>
      <c r="N473" s="10" t="s">
        <v>372</v>
      </c>
    </row>
    <row r="474" spans="1:14" ht="15" hidden="1" customHeight="1" outlineLevel="1" x14ac:dyDescent="0.2">
      <c r="A474" s="16"/>
      <c r="B474" s="21" t="s">
        <v>114</v>
      </c>
      <c r="C474" s="1"/>
      <c r="D474" s="19"/>
      <c r="E474" s="35">
        <f t="shared" ref="E474:K474" si="281">E475*E478/E479</f>
        <v>21.9375</v>
      </c>
      <c r="F474" s="35">
        <f t="shared" si="281"/>
        <v>21.9375</v>
      </c>
      <c r="G474" s="35">
        <f t="shared" si="281"/>
        <v>21.9375</v>
      </c>
      <c r="H474" s="35">
        <f t="shared" si="281"/>
        <v>54.84375</v>
      </c>
      <c r="I474" s="35">
        <f t="shared" si="281"/>
        <v>22.34375</v>
      </c>
      <c r="J474" s="35">
        <f t="shared" si="281"/>
        <v>22.34375</v>
      </c>
      <c r="K474" s="35">
        <f t="shared" si="281"/>
        <v>25.22</v>
      </c>
      <c r="L474" s="19"/>
      <c r="M474" s="21"/>
      <c r="N474" s="10" t="s">
        <v>384</v>
      </c>
    </row>
    <row r="475" spans="1:14" ht="15" hidden="1" customHeight="1" outlineLevel="1" x14ac:dyDescent="0.2">
      <c r="A475" s="16"/>
      <c r="B475" s="21" t="s">
        <v>121</v>
      </c>
      <c r="C475" s="11"/>
      <c r="D475" s="19"/>
      <c r="E475" s="4">
        <f t="shared" ref="E475:K475" si="282">IF(E480&lt;=1,IF(E480&gt;-1,E476,E477))</f>
        <v>0.65</v>
      </c>
      <c r="F475" s="4">
        <f t="shared" si="282"/>
        <v>0.65</v>
      </c>
      <c r="G475" s="4">
        <f t="shared" si="282"/>
        <v>0.65</v>
      </c>
      <c r="H475" s="4">
        <f t="shared" si="282"/>
        <v>0.65</v>
      </c>
      <c r="I475" s="4">
        <f t="shared" si="282"/>
        <v>0.65</v>
      </c>
      <c r="J475" s="4">
        <f t="shared" si="282"/>
        <v>0.65</v>
      </c>
      <c r="K475" s="4">
        <f t="shared" si="282"/>
        <v>0.65</v>
      </c>
      <c r="L475" s="19"/>
      <c r="M475" s="21"/>
      <c r="N475" s="10" t="s">
        <v>385</v>
      </c>
    </row>
    <row r="476" spans="1:14" ht="15" hidden="1" customHeight="1" outlineLevel="1" x14ac:dyDescent="0.2">
      <c r="A476" s="16"/>
      <c r="B476" s="21" t="s">
        <v>123</v>
      </c>
      <c r="C476" s="11"/>
      <c r="D476" s="19"/>
      <c r="E476" s="4">
        <f t="shared" ref="E476:J476" si="283">1.15+E480/2</f>
        <v>0.64999999999999991</v>
      </c>
      <c r="F476" s="4">
        <f t="shared" si="283"/>
        <v>0.64999999999999991</v>
      </c>
      <c r="G476" s="4">
        <f t="shared" si="283"/>
        <v>0.64999999999999991</v>
      </c>
      <c r="H476" s="4">
        <f t="shared" si="283"/>
        <v>0.64999999999999991</v>
      </c>
      <c r="I476" s="4">
        <f t="shared" si="283"/>
        <v>0.64999999999999991</v>
      </c>
      <c r="J476" s="4">
        <f t="shared" si="283"/>
        <v>0.64999999999999991</v>
      </c>
      <c r="K476" s="4">
        <f>1.15+K480/2</f>
        <v>0.64999999999999991</v>
      </c>
      <c r="L476" s="19"/>
      <c r="M476" s="21"/>
      <c r="N476" s="10" t="s">
        <v>385</v>
      </c>
    </row>
    <row r="477" spans="1:14" ht="15" hidden="1" customHeight="1" outlineLevel="1" x14ac:dyDescent="0.2">
      <c r="A477" s="16"/>
      <c r="B477" s="21" t="s">
        <v>122</v>
      </c>
      <c r="C477" s="11"/>
      <c r="D477" s="19"/>
      <c r="E477" s="4">
        <f t="shared" ref="E477:J477" si="284">1.3/(1-E480)</f>
        <v>0.65</v>
      </c>
      <c r="F477" s="4">
        <f t="shared" si="284"/>
        <v>0.65</v>
      </c>
      <c r="G477" s="4">
        <f t="shared" si="284"/>
        <v>0.65</v>
      </c>
      <c r="H477" s="4">
        <f t="shared" si="284"/>
        <v>0.65</v>
      </c>
      <c r="I477" s="4">
        <f t="shared" si="284"/>
        <v>0.65</v>
      </c>
      <c r="J477" s="4">
        <f t="shared" si="284"/>
        <v>0.65</v>
      </c>
      <c r="K477" s="4">
        <f>1.3/(1-K480)</f>
        <v>0.65</v>
      </c>
      <c r="L477" s="19"/>
      <c r="M477" s="21"/>
      <c r="N477" s="10" t="s">
        <v>385</v>
      </c>
    </row>
    <row r="478" spans="1:14" ht="15" hidden="1" customHeight="1" outlineLevel="1" x14ac:dyDescent="0.2">
      <c r="A478" s="16"/>
      <c r="C478" s="1" t="s">
        <v>119</v>
      </c>
      <c r="D478" s="19"/>
      <c r="E478" s="39">
        <f t="shared" ref="E478:K478" si="285">E29-E30/2-E32/2</f>
        <v>675</v>
      </c>
      <c r="F478" s="39">
        <f t="shared" si="285"/>
        <v>675</v>
      </c>
      <c r="G478" s="39">
        <f t="shared" si="285"/>
        <v>675</v>
      </c>
      <c r="H478" s="39">
        <f t="shared" si="285"/>
        <v>675</v>
      </c>
      <c r="I478" s="39">
        <f t="shared" si="285"/>
        <v>687.5</v>
      </c>
      <c r="J478" s="39">
        <f t="shared" si="285"/>
        <v>687.5</v>
      </c>
      <c r="K478" s="39">
        <f t="shared" si="285"/>
        <v>970</v>
      </c>
      <c r="L478" s="19"/>
      <c r="M478" s="21" t="s">
        <v>0</v>
      </c>
      <c r="N478" s="10" t="s">
        <v>384</v>
      </c>
    </row>
    <row r="479" spans="1:14" ht="15" hidden="1" customHeight="1" outlineLevel="1" x14ac:dyDescent="0.2">
      <c r="A479" s="16"/>
      <c r="C479" s="1" t="s">
        <v>117</v>
      </c>
      <c r="D479" s="19"/>
      <c r="E479" s="7">
        <f t="shared" ref="E479:K479" si="286">E34</f>
        <v>20</v>
      </c>
      <c r="F479" s="7">
        <f t="shared" si="286"/>
        <v>20</v>
      </c>
      <c r="G479" s="7">
        <f t="shared" si="286"/>
        <v>20</v>
      </c>
      <c r="H479" s="7">
        <f t="shared" si="286"/>
        <v>8</v>
      </c>
      <c r="I479" s="7">
        <f t="shared" si="286"/>
        <v>20</v>
      </c>
      <c r="J479" s="7">
        <f t="shared" si="286"/>
        <v>20</v>
      </c>
      <c r="K479" s="7">
        <f t="shared" si="286"/>
        <v>25</v>
      </c>
      <c r="L479" s="19"/>
      <c r="M479" s="21" t="s">
        <v>0</v>
      </c>
      <c r="N479" s="10" t="s">
        <v>384</v>
      </c>
    </row>
    <row r="480" spans="1:14" ht="15" hidden="1" customHeight="1" outlineLevel="1" x14ac:dyDescent="0.2">
      <c r="A480" s="16"/>
      <c r="C480" s="1" t="s">
        <v>120</v>
      </c>
      <c r="D480" s="19"/>
      <c r="E480" s="44">
        <f t="shared" ref="E480:K480" si="287">-(E76-E32)/(E75-E30)</f>
        <v>-1</v>
      </c>
      <c r="F480" s="44">
        <f t="shared" si="287"/>
        <v>-1</v>
      </c>
      <c r="G480" s="44">
        <f t="shared" si="287"/>
        <v>-1</v>
      </c>
      <c r="H480" s="44">
        <f t="shared" si="287"/>
        <v>-1</v>
      </c>
      <c r="I480" s="44">
        <f t="shared" si="287"/>
        <v>-1</v>
      </c>
      <c r="J480" s="44">
        <f t="shared" si="287"/>
        <v>-1</v>
      </c>
      <c r="K480" s="44">
        <f t="shared" si="287"/>
        <v>-1</v>
      </c>
      <c r="L480" s="19"/>
      <c r="M480" s="21"/>
      <c r="N480" s="10" t="s">
        <v>373</v>
      </c>
    </row>
    <row r="481" spans="1:14" ht="15" customHeight="1" collapsed="1" x14ac:dyDescent="0.2">
      <c r="C481" s="11"/>
    </row>
    <row r="482" spans="1:14" ht="15" customHeight="1" x14ac:dyDescent="0.2">
      <c r="C482" s="11"/>
    </row>
    <row r="483" spans="1:14" ht="15" customHeight="1" x14ac:dyDescent="0.2">
      <c r="A483" s="32" t="s">
        <v>365</v>
      </c>
      <c r="C483" s="11"/>
      <c r="N483" s="10" t="s">
        <v>409</v>
      </c>
    </row>
    <row r="484" spans="1:14" ht="15" hidden="1" customHeight="1" outlineLevel="1" x14ac:dyDescent="0.2">
      <c r="A484" s="11"/>
      <c r="C484" s="11"/>
    </row>
    <row r="485" spans="1:14" ht="15" hidden="1" customHeight="1" outlineLevel="1" x14ac:dyDescent="0.2">
      <c r="A485" s="31" t="s">
        <v>42</v>
      </c>
      <c r="C485" s="18"/>
      <c r="N485" s="10" t="s">
        <v>370</v>
      </c>
    </row>
    <row r="486" spans="1:14" ht="15" hidden="1" customHeight="1" outlineLevel="1" x14ac:dyDescent="0.2">
      <c r="A486" s="33"/>
      <c r="B486" s="1" t="s">
        <v>208</v>
      </c>
      <c r="C486" s="1"/>
      <c r="D486" s="19"/>
      <c r="E486" s="3">
        <f t="shared" ref="E486:K486" si="288">E487*E497*E498*E488/10^3</f>
        <v>1599.7585437936857</v>
      </c>
      <c r="F486" s="3">
        <f t="shared" si="288"/>
        <v>1527.3600635611976</v>
      </c>
      <c r="G486" s="3">
        <f t="shared" si="288"/>
        <v>1527.3600635611976</v>
      </c>
      <c r="H486" s="3">
        <f t="shared" si="288"/>
        <v>221.86783735769194</v>
      </c>
      <c r="I486" s="3">
        <f t="shared" si="288"/>
        <v>1643.2558976093228</v>
      </c>
      <c r="J486" s="3">
        <f t="shared" si="288"/>
        <v>1556.1477828218613</v>
      </c>
      <c r="K486" s="3">
        <f t="shared" si="288"/>
        <v>2537.1208163557931</v>
      </c>
      <c r="L486" s="19"/>
      <c r="M486" s="1" t="s">
        <v>5</v>
      </c>
      <c r="N486" s="10" t="s">
        <v>370</v>
      </c>
    </row>
    <row r="487" spans="1:14" ht="15" hidden="1" customHeight="1" outlineLevel="1" x14ac:dyDescent="0.2">
      <c r="A487" s="33"/>
      <c r="B487" s="21"/>
      <c r="C487" s="1" t="s">
        <v>37</v>
      </c>
      <c r="D487" s="19"/>
      <c r="E487" s="4">
        <v>0.9</v>
      </c>
      <c r="F487" s="4">
        <v>0.9</v>
      </c>
      <c r="G487" s="4">
        <v>0.9</v>
      </c>
      <c r="H487" s="4">
        <v>0.9</v>
      </c>
      <c r="I487" s="4">
        <v>0.9</v>
      </c>
      <c r="J487" s="4">
        <v>0.9</v>
      </c>
      <c r="K487" s="4">
        <v>0.9</v>
      </c>
      <c r="L487" s="19"/>
      <c r="M487" s="21"/>
      <c r="N487" s="10" t="s">
        <v>390</v>
      </c>
    </row>
    <row r="488" spans="1:14" ht="15" hidden="1" customHeight="1" outlineLevel="1" x14ac:dyDescent="0.2">
      <c r="A488" s="11"/>
      <c r="B488" s="10" t="s">
        <v>98</v>
      </c>
      <c r="C488" s="11"/>
      <c r="E488" s="40">
        <f t="shared" ref="E488:K488" si="289">E494*E489</f>
        <v>136.73149946954578</v>
      </c>
      <c r="F488" s="40">
        <f t="shared" si="289"/>
        <v>130.54359517617073</v>
      </c>
      <c r="G488" s="40">
        <f t="shared" si="289"/>
        <v>130.54359517617073</v>
      </c>
      <c r="H488" s="40">
        <f t="shared" si="289"/>
        <v>47.407657555062379</v>
      </c>
      <c r="I488" s="40">
        <f t="shared" si="289"/>
        <v>135.24739898019118</v>
      </c>
      <c r="J488" s="40">
        <f t="shared" si="289"/>
        <v>128.07800681661411</v>
      </c>
      <c r="K488" s="40">
        <f t="shared" si="289"/>
        <v>119.95843103337084</v>
      </c>
      <c r="M488" s="21" t="s">
        <v>8</v>
      </c>
      <c r="N488" s="10" t="s">
        <v>370</v>
      </c>
    </row>
    <row r="489" spans="1:14" ht="15" hidden="1" customHeight="1" outlineLevel="1" x14ac:dyDescent="0.2">
      <c r="A489" s="11"/>
      <c r="B489" s="21" t="s">
        <v>55</v>
      </c>
      <c r="C489" s="1"/>
      <c r="D489" s="19"/>
      <c r="E489" s="29">
        <f t="shared" ref="E489:K489" si="290">MIN(1,E490-SQRT(E490^2-1/E493^2))</f>
        <v>0.94952430187184578</v>
      </c>
      <c r="F489" s="29">
        <f t="shared" si="290"/>
        <v>0.90655274427896337</v>
      </c>
      <c r="G489" s="29">
        <f t="shared" si="290"/>
        <v>0.90655274427896337</v>
      </c>
      <c r="H489" s="29">
        <f t="shared" si="290"/>
        <v>0.32921984413237765</v>
      </c>
      <c r="I489" s="29">
        <f t="shared" si="290"/>
        <v>0.93921804847354995</v>
      </c>
      <c r="J489" s="29">
        <f t="shared" si="290"/>
        <v>0.88943060289315357</v>
      </c>
      <c r="K489" s="29">
        <f t="shared" si="290"/>
        <v>0.83304465995396415</v>
      </c>
      <c r="L489" s="19"/>
      <c r="M489" s="21"/>
      <c r="N489" s="10" t="s">
        <v>375</v>
      </c>
    </row>
    <row r="490" spans="1:14" ht="15" hidden="1" customHeight="1" outlineLevel="1" x14ac:dyDescent="0.2">
      <c r="A490" s="11"/>
      <c r="B490" s="21" t="s">
        <v>56</v>
      </c>
      <c r="C490" s="1"/>
      <c r="D490" s="19"/>
      <c r="E490" s="29">
        <f t="shared" ref="E490:K490" si="291">(1+E491*(E493-E492)+E493^2)/(2*E493^2)</f>
        <v>1.6950897119590884</v>
      </c>
      <c r="F490" s="29">
        <f t="shared" si="291"/>
        <v>1.7314487484826835</v>
      </c>
      <c r="G490" s="29">
        <f t="shared" si="291"/>
        <v>1.7314487484826835</v>
      </c>
      <c r="H490" s="29">
        <f t="shared" si="291"/>
        <v>0.72775005888956878</v>
      </c>
      <c r="I490" s="29">
        <f t="shared" si="291"/>
        <v>1.6136333058848964</v>
      </c>
      <c r="J490" s="29">
        <f t="shared" si="291"/>
        <v>1.6527783585538895</v>
      </c>
      <c r="K490" s="29">
        <f t="shared" si="291"/>
        <v>1.4557369589485434</v>
      </c>
      <c r="L490" s="19"/>
      <c r="M490" s="21"/>
      <c r="N490" s="10" t="s">
        <v>375</v>
      </c>
    </row>
    <row r="491" spans="1:14" ht="15" hidden="1" customHeight="1" outlineLevel="1" x14ac:dyDescent="0.2">
      <c r="A491" s="11"/>
      <c r="C491" s="1" t="s">
        <v>199</v>
      </c>
      <c r="D491" s="19"/>
      <c r="E491" s="44">
        <f t="shared" ref="E491:K491" si="292">E48</f>
        <v>0.2</v>
      </c>
      <c r="F491" s="44">
        <f t="shared" si="292"/>
        <v>0.4</v>
      </c>
      <c r="G491" s="44">
        <f t="shared" si="292"/>
        <v>0.4</v>
      </c>
      <c r="H491" s="44">
        <f t="shared" si="292"/>
        <v>0.2</v>
      </c>
      <c r="I491" s="44">
        <f t="shared" si="292"/>
        <v>0.2</v>
      </c>
      <c r="J491" s="44">
        <f t="shared" si="292"/>
        <v>0.4</v>
      </c>
      <c r="K491" s="44">
        <f t="shared" si="292"/>
        <v>0.4</v>
      </c>
      <c r="L491" s="19"/>
      <c r="M491" s="21"/>
      <c r="N491" s="10" t="s">
        <v>375</v>
      </c>
    </row>
    <row r="492" spans="1:14" ht="15" hidden="1" customHeight="1" outlineLevel="1" x14ac:dyDescent="0.2">
      <c r="A492" s="11"/>
      <c r="C492" s="1" t="s">
        <v>50</v>
      </c>
      <c r="D492" s="19"/>
      <c r="E492" s="7">
        <v>0.5</v>
      </c>
      <c r="F492" s="7">
        <v>0.5</v>
      </c>
      <c r="G492" s="7">
        <v>0.5</v>
      </c>
      <c r="H492" s="7">
        <v>0.5</v>
      </c>
      <c r="I492" s="7">
        <v>0.5</v>
      </c>
      <c r="J492" s="7">
        <v>0.5</v>
      </c>
      <c r="K492" s="7">
        <v>0.5</v>
      </c>
      <c r="L492" s="19"/>
      <c r="M492" s="21"/>
      <c r="N492" s="10" t="s">
        <v>375</v>
      </c>
    </row>
    <row r="493" spans="1:14" ht="15" hidden="1" customHeight="1" outlineLevel="1" x14ac:dyDescent="0.2">
      <c r="A493" s="11"/>
      <c r="B493" s="21" t="s">
        <v>100</v>
      </c>
      <c r="C493" s="1"/>
      <c r="D493" s="19"/>
      <c r="E493" s="29">
        <f t="shared" ref="E493:K493" si="293">E496/PI()*SQRT(E494/E495)</f>
        <v>0.65689166298255608</v>
      </c>
      <c r="F493" s="29">
        <f t="shared" si="293"/>
        <v>0.65689166298255608</v>
      </c>
      <c r="G493" s="29">
        <f t="shared" si="293"/>
        <v>0.65689166298255608</v>
      </c>
      <c r="H493" s="29">
        <f t="shared" si="293"/>
        <v>1.6422291574563903</v>
      </c>
      <c r="I493" s="29">
        <f t="shared" si="293"/>
        <v>0.68215672694342366</v>
      </c>
      <c r="J493" s="29">
        <f t="shared" si="293"/>
        <v>0.68215672694342366</v>
      </c>
      <c r="K493" s="29">
        <f t="shared" si="293"/>
        <v>0.75997312394289573</v>
      </c>
      <c r="L493" s="19"/>
      <c r="M493" s="21"/>
      <c r="N493" s="10" t="s">
        <v>370</v>
      </c>
    </row>
    <row r="494" spans="1:14" ht="15" hidden="1" customHeight="1" outlineLevel="1" x14ac:dyDescent="0.2">
      <c r="A494" s="11"/>
      <c r="C494" s="11" t="s">
        <v>99</v>
      </c>
      <c r="D494" s="19"/>
      <c r="E494" s="39">
        <f t="shared" ref="E494:K494" si="294">0.6*E22</f>
        <v>144</v>
      </c>
      <c r="F494" s="39">
        <f t="shared" si="294"/>
        <v>144</v>
      </c>
      <c r="G494" s="39">
        <f t="shared" si="294"/>
        <v>144</v>
      </c>
      <c r="H494" s="39">
        <f t="shared" si="294"/>
        <v>144</v>
      </c>
      <c r="I494" s="39">
        <f t="shared" si="294"/>
        <v>144</v>
      </c>
      <c r="J494" s="39">
        <f t="shared" si="294"/>
        <v>144</v>
      </c>
      <c r="K494" s="39">
        <f t="shared" si="294"/>
        <v>144</v>
      </c>
      <c r="L494" s="19"/>
      <c r="M494" s="21" t="s">
        <v>8</v>
      </c>
      <c r="N494" s="10" t="s">
        <v>398</v>
      </c>
    </row>
    <row r="495" spans="1:14" ht="15" hidden="1" customHeight="1" outlineLevel="1" x14ac:dyDescent="0.2">
      <c r="A495" s="11"/>
      <c r="C495" s="1" t="s">
        <v>29</v>
      </c>
      <c r="D495" s="19"/>
      <c r="E495" s="35">
        <f t="shared" ref="E495:K495" si="295">E25</f>
        <v>70000</v>
      </c>
      <c r="F495" s="35">
        <f t="shared" si="295"/>
        <v>70000</v>
      </c>
      <c r="G495" s="35">
        <f t="shared" si="295"/>
        <v>70000</v>
      </c>
      <c r="H495" s="35">
        <f t="shared" si="295"/>
        <v>70000</v>
      </c>
      <c r="I495" s="35">
        <f t="shared" si="295"/>
        <v>70000</v>
      </c>
      <c r="J495" s="35">
        <f t="shared" si="295"/>
        <v>70000</v>
      </c>
      <c r="K495" s="35">
        <f t="shared" si="295"/>
        <v>70000</v>
      </c>
      <c r="L495" s="19"/>
      <c r="M495" s="21" t="s">
        <v>8</v>
      </c>
      <c r="N495" s="10" t="s">
        <v>372</v>
      </c>
    </row>
    <row r="496" spans="1:14" ht="15" hidden="1" customHeight="1" outlineLevel="1" x14ac:dyDescent="0.2">
      <c r="A496" s="11"/>
      <c r="B496" s="21" t="s">
        <v>107</v>
      </c>
      <c r="C496" s="1"/>
      <c r="D496" s="19"/>
      <c r="E496" s="35">
        <f t="shared" ref="E496:K496" si="296">1.4*E497/E498</f>
        <v>45.499999999999993</v>
      </c>
      <c r="F496" s="35">
        <f t="shared" si="296"/>
        <v>45.499999999999993</v>
      </c>
      <c r="G496" s="35">
        <f t="shared" si="296"/>
        <v>45.499999999999993</v>
      </c>
      <c r="H496" s="35">
        <f t="shared" si="296"/>
        <v>113.74999999999999</v>
      </c>
      <c r="I496" s="35">
        <f t="shared" si="296"/>
        <v>47.249999999999993</v>
      </c>
      <c r="J496" s="35">
        <f t="shared" si="296"/>
        <v>47.249999999999993</v>
      </c>
      <c r="K496" s="35">
        <f t="shared" si="296"/>
        <v>52.64</v>
      </c>
      <c r="L496" s="19"/>
      <c r="M496" s="21"/>
      <c r="N496" s="10" t="s">
        <v>410</v>
      </c>
    </row>
    <row r="497" spans="1:14" ht="15" hidden="1" customHeight="1" outlineLevel="1" x14ac:dyDescent="0.2">
      <c r="A497" s="11"/>
      <c r="C497" s="1" t="s">
        <v>13</v>
      </c>
      <c r="D497" s="19"/>
      <c r="E497" s="39">
        <f t="shared" ref="E497:K497" si="297">E35</f>
        <v>650</v>
      </c>
      <c r="F497" s="39">
        <f t="shared" si="297"/>
        <v>650</v>
      </c>
      <c r="G497" s="39">
        <f t="shared" si="297"/>
        <v>650</v>
      </c>
      <c r="H497" s="39">
        <f t="shared" si="297"/>
        <v>650</v>
      </c>
      <c r="I497" s="39">
        <f t="shared" si="297"/>
        <v>675</v>
      </c>
      <c r="J497" s="39">
        <f t="shared" si="297"/>
        <v>675</v>
      </c>
      <c r="K497" s="39">
        <f t="shared" si="297"/>
        <v>940</v>
      </c>
      <c r="L497" s="19"/>
      <c r="M497" s="21" t="s">
        <v>0</v>
      </c>
      <c r="N497" s="10" t="s">
        <v>370</v>
      </c>
    </row>
    <row r="498" spans="1:14" ht="15" hidden="1" customHeight="1" outlineLevel="1" x14ac:dyDescent="0.2">
      <c r="A498" s="11"/>
      <c r="C498" s="1" t="s">
        <v>7</v>
      </c>
      <c r="D498" s="19"/>
      <c r="E498" s="7">
        <f t="shared" ref="E498:K498" si="298">E34</f>
        <v>20</v>
      </c>
      <c r="F498" s="7">
        <f t="shared" si="298"/>
        <v>20</v>
      </c>
      <c r="G498" s="7">
        <f t="shared" si="298"/>
        <v>20</v>
      </c>
      <c r="H498" s="7">
        <f t="shared" si="298"/>
        <v>8</v>
      </c>
      <c r="I498" s="7">
        <f t="shared" si="298"/>
        <v>20</v>
      </c>
      <c r="J498" s="7">
        <f t="shared" si="298"/>
        <v>20</v>
      </c>
      <c r="K498" s="7">
        <f t="shared" si="298"/>
        <v>25</v>
      </c>
      <c r="L498" s="19"/>
      <c r="M498" s="21" t="s">
        <v>0</v>
      </c>
      <c r="N498" s="10" t="s">
        <v>370</v>
      </c>
    </row>
    <row r="499" spans="1:14" ht="15" hidden="1" customHeight="1" outlineLevel="1" x14ac:dyDescent="0.2">
      <c r="A499" s="11"/>
      <c r="C499" s="11"/>
    </row>
    <row r="500" spans="1:14" ht="15" hidden="1" customHeight="1" outlineLevel="1" x14ac:dyDescent="0.2">
      <c r="A500" s="31" t="s">
        <v>102</v>
      </c>
      <c r="C500" s="18"/>
      <c r="N500" s="10" t="s">
        <v>411</v>
      </c>
    </row>
    <row r="501" spans="1:14" ht="15" hidden="1" customHeight="1" outlineLevel="1" x14ac:dyDescent="0.2">
      <c r="A501" s="33"/>
      <c r="B501" s="10" t="s">
        <v>195</v>
      </c>
      <c r="C501" s="11"/>
      <c r="E501" s="3">
        <f t="shared" ref="E501:K501" si="299">MIN(E502:E503)</f>
        <v>1683.748008443016</v>
      </c>
      <c r="F501" s="3">
        <f t="shared" si="299"/>
        <v>1681.0991674585614</v>
      </c>
      <c r="G501" s="3">
        <f t="shared" si="299"/>
        <v>1681.0991674585614</v>
      </c>
      <c r="H501" s="3">
        <f t="shared" si="299"/>
        <v>552.81580496550248</v>
      </c>
      <c r="I501" s="3">
        <f t="shared" si="299"/>
        <v>1748.0075892599657</v>
      </c>
      <c r="J501" s="3">
        <f t="shared" si="299"/>
        <v>1744.1657164455271</v>
      </c>
      <c r="K501" s="3">
        <f t="shared" si="299"/>
        <v>3023.8847014151415</v>
      </c>
      <c r="M501" s="1" t="s">
        <v>5</v>
      </c>
      <c r="N501" s="10" t="s">
        <v>411</v>
      </c>
    </row>
    <row r="502" spans="1:14" ht="15" hidden="1" customHeight="1" outlineLevel="1" x14ac:dyDescent="0.2">
      <c r="A502" s="33"/>
      <c r="B502" s="1" t="s">
        <v>209</v>
      </c>
      <c r="C502" s="1"/>
      <c r="D502" s="19"/>
      <c r="E502" s="3">
        <f t="shared" ref="E502:K502" si="300">E506*(2*SQRT(E507*E505/E518)-E507)*E516*E518/10^3</f>
        <v>1683.748008443016</v>
      </c>
      <c r="F502" s="3">
        <f t="shared" si="300"/>
        <v>1681.0991674585614</v>
      </c>
      <c r="G502" s="3">
        <f t="shared" si="300"/>
        <v>1681.0991674585614</v>
      </c>
      <c r="H502" s="3">
        <f t="shared" si="300"/>
        <v>552.81580496550248</v>
      </c>
      <c r="I502" s="3">
        <f t="shared" si="300"/>
        <v>1748.0075892599657</v>
      </c>
      <c r="J502" s="3">
        <f t="shared" si="300"/>
        <v>1744.1657164455271</v>
      </c>
      <c r="K502" s="3">
        <f t="shared" si="300"/>
        <v>3023.8847014151415</v>
      </c>
      <c r="L502" s="19"/>
      <c r="M502" s="1" t="s">
        <v>5</v>
      </c>
      <c r="N502" s="10" t="s">
        <v>412</v>
      </c>
    </row>
    <row r="503" spans="1:14" ht="15" hidden="1" customHeight="1" outlineLevel="1" x14ac:dyDescent="0.2">
      <c r="A503" s="33"/>
      <c r="B503" s="1" t="s">
        <v>210</v>
      </c>
      <c r="C503" s="1"/>
      <c r="D503" s="19"/>
      <c r="E503" s="3">
        <f t="shared" ref="E503:K503" si="301">E504*E516/10^3</f>
        <v>1684.8</v>
      </c>
      <c r="F503" s="3">
        <f t="shared" si="301"/>
        <v>1684.8</v>
      </c>
      <c r="G503" s="3">
        <f t="shared" si="301"/>
        <v>1684.8</v>
      </c>
      <c r="H503" s="3">
        <f t="shared" si="301"/>
        <v>673.92</v>
      </c>
      <c r="I503" s="3">
        <f t="shared" si="301"/>
        <v>1749.6</v>
      </c>
      <c r="J503" s="3">
        <f t="shared" si="301"/>
        <v>1749.6</v>
      </c>
      <c r="K503" s="3">
        <f t="shared" si="301"/>
        <v>3045.6</v>
      </c>
      <c r="L503" s="19"/>
      <c r="M503" s="1" t="s">
        <v>5</v>
      </c>
      <c r="N503" s="10" t="s">
        <v>413</v>
      </c>
    </row>
    <row r="504" spans="1:14" ht="15" hidden="1" customHeight="1" outlineLevel="1" x14ac:dyDescent="0.2">
      <c r="A504" s="33"/>
      <c r="B504" s="1" t="s">
        <v>206</v>
      </c>
      <c r="C504" s="1"/>
      <c r="D504" s="19"/>
      <c r="E504" s="3">
        <f t="shared" ref="E504:K504" si="302">E506*E505</f>
        <v>2592</v>
      </c>
      <c r="F504" s="3">
        <f t="shared" si="302"/>
        <v>2592</v>
      </c>
      <c r="G504" s="3">
        <f t="shared" si="302"/>
        <v>2592</v>
      </c>
      <c r="H504" s="3">
        <f t="shared" si="302"/>
        <v>1036.8</v>
      </c>
      <c r="I504" s="3">
        <f t="shared" si="302"/>
        <v>2592</v>
      </c>
      <c r="J504" s="3">
        <f t="shared" si="302"/>
        <v>2592</v>
      </c>
      <c r="K504" s="3">
        <f t="shared" si="302"/>
        <v>3240</v>
      </c>
      <c r="L504" s="19"/>
      <c r="M504" s="1" t="s">
        <v>106</v>
      </c>
      <c r="N504" s="10" t="s">
        <v>414</v>
      </c>
    </row>
    <row r="505" spans="1:14" ht="15" hidden="1" customHeight="1" outlineLevel="1" x14ac:dyDescent="0.2">
      <c r="A505" s="33"/>
      <c r="B505" s="1" t="s">
        <v>105</v>
      </c>
      <c r="C505" s="1"/>
      <c r="D505" s="19"/>
      <c r="E505" s="3">
        <f t="shared" ref="E505:J505" si="303">E513*E518</f>
        <v>2880</v>
      </c>
      <c r="F505" s="3">
        <f t="shared" si="303"/>
        <v>2880</v>
      </c>
      <c r="G505" s="3">
        <f t="shared" si="303"/>
        <v>2880</v>
      </c>
      <c r="H505" s="3">
        <f t="shared" si="303"/>
        <v>1152</v>
      </c>
      <c r="I505" s="3">
        <f t="shared" si="303"/>
        <v>2880</v>
      </c>
      <c r="J505" s="3">
        <f t="shared" si="303"/>
        <v>2880</v>
      </c>
      <c r="K505" s="3">
        <f>K513*K518</f>
        <v>3600</v>
      </c>
      <c r="L505" s="19"/>
      <c r="M505" s="1" t="s">
        <v>106</v>
      </c>
      <c r="N505" s="10" t="s">
        <v>414</v>
      </c>
    </row>
    <row r="506" spans="1:14" ht="15" hidden="1" customHeight="1" outlineLevel="1" x14ac:dyDescent="0.2">
      <c r="A506" s="33"/>
      <c r="B506" s="21"/>
      <c r="C506" s="1" t="s">
        <v>193</v>
      </c>
      <c r="D506" s="19"/>
      <c r="E506" s="4">
        <v>0.9</v>
      </c>
      <c r="F506" s="4">
        <v>0.9</v>
      </c>
      <c r="G506" s="4">
        <v>0.9</v>
      </c>
      <c r="H506" s="4">
        <v>0.9</v>
      </c>
      <c r="I506" s="4">
        <v>0.9</v>
      </c>
      <c r="J506" s="4">
        <v>0.9</v>
      </c>
      <c r="K506" s="4">
        <v>0.9</v>
      </c>
      <c r="L506" s="19"/>
      <c r="M506" s="21"/>
      <c r="N506" s="10" t="s">
        <v>415</v>
      </c>
    </row>
    <row r="507" spans="1:14" ht="15" hidden="1" customHeight="1" outlineLevel="1" x14ac:dyDescent="0.2">
      <c r="A507" s="11"/>
      <c r="B507" s="10" t="s">
        <v>98</v>
      </c>
      <c r="C507" s="11"/>
      <c r="E507" s="40">
        <f t="shared" ref="E507:K507" si="304">E513*E508</f>
        <v>136.8933623025633</v>
      </c>
      <c r="F507" s="40">
        <f t="shared" si="304"/>
        <v>130.81835385755787</v>
      </c>
      <c r="G507" s="40">
        <f t="shared" si="304"/>
        <v>130.81835385755787</v>
      </c>
      <c r="H507" s="40">
        <f t="shared" si="304"/>
        <v>47.790390155088502</v>
      </c>
      <c r="I507" s="40">
        <f t="shared" si="304"/>
        <v>135.44244565032653</v>
      </c>
      <c r="J507" s="40">
        <f t="shared" si="304"/>
        <v>128.39655604489201</v>
      </c>
      <c r="K507" s="40">
        <f t="shared" si="304"/>
        <v>120.70810627650101</v>
      </c>
      <c r="M507" s="21" t="s">
        <v>8</v>
      </c>
      <c r="N507" s="10" t="s">
        <v>411</v>
      </c>
    </row>
    <row r="508" spans="1:14" ht="15" hidden="1" customHeight="1" outlineLevel="1" x14ac:dyDescent="0.2">
      <c r="A508" s="11"/>
      <c r="B508" s="21" t="s">
        <v>55</v>
      </c>
      <c r="C508" s="1"/>
      <c r="D508" s="19"/>
      <c r="E508" s="29">
        <f t="shared" ref="E508:K508" si="305">MIN(1,E509-SQRT(E509^2-1/E512^2))</f>
        <v>0.95064834932335629</v>
      </c>
      <c r="F508" s="29">
        <f t="shared" si="305"/>
        <v>0.9084607906774852</v>
      </c>
      <c r="G508" s="29">
        <f t="shared" si="305"/>
        <v>0.9084607906774852</v>
      </c>
      <c r="H508" s="29">
        <f t="shared" si="305"/>
        <v>0.33187770941033684</v>
      </c>
      <c r="I508" s="29">
        <f t="shared" si="305"/>
        <v>0.9405725392383788</v>
      </c>
      <c r="J508" s="29">
        <f t="shared" si="305"/>
        <v>0.89164275031175011</v>
      </c>
      <c r="K508" s="29">
        <f t="shared" si="305"/>
        <v>0.83825073803125705</v>
      </c>
      <c r="L508" s="19"/>
      <c r="M508" s="21"/>
      <c r="N508" s="10" t="s">
        <v>375</v>
      </c>
    </row>
    <row r="509" spans="1:14" ht="15" hidden="1" customHeight="1" outlineLevel="1" x14ac:dyDescent="0.2">
      <c r="A509" s="11"/>
      <c r="B509" s="21" t="s">
        <v>56</v>
      </c>
      <c r="C509" s="1"/>
      <c r="D509" s="19"/>
      <c r="E509" s="29">
        <f t="shared" ref="E509:K509" si="306">(1+E510*(E512-E511)+E512^2)/(2*E512^2)</f>
        <v>1.7049375435099767</v>
      </c>
      <c r="F509" s="29">
        <f t="shared" si="306"/>
        <v>1.7409451676183874</v>
      </c>
      <c r="G509" s="29">
        <f t="shared" si="306"/>
        <v>1.7409451676183874</v>
      </c>
      <c r="H509" s="29">
        <f t="shared" si="306"/>
        <v>0.72948615481325252</v>
      </c>
      <c r="I509" s="29">
        <f t="shared" si="306"/>
        <v>1.6235067304890058</v>
      </c>
      <c r="J509" s="29">
        <f t="shared" si="306"/>
        <v>1.6623259637960353</v>
      </c>
      <c r="K509" s="29">
        <f t="shared" si="306"/>
        <v>1.4708972027970777</v>
      </c>
      <c r="L509" s="19"/>
      <c r="M509" s="21"/>
      <c r="N509" s="10" t="s">
        <v>375</v>
      </c>
    </row>
    <row r="510" spans="1:14" ht="15" hidden="1" customHeight="1" outlineLevel="1" x14ac:dyDescent="0.2">
      <c r="A510" s="11"/>
      <c r="C510" s="1" t="s">
        <v>199</v>
      </c>
      <c r="D510" s="19"/>
      <c r="E510" s="44">
        <f t="shared" ref="E510:K510" si="307">E48</f>
        <v>0.2</v>
      </c>
      <c r="F510" s="44">
        <f t="shared" si="307"/>
        <v>0.4</v>
      </c>
      <c r="G510" s="44">
        <f t="shared" si="307"/>
        <v>0.4</v>
      </c>
      <c r="H510" s="44">
        <f t="shared" si="307"/>
        <v>0.2</v>
      </c>
      <c r="I510" s="44">
        <f t="shared" si="307"/>
        <v>0.2</v>
      </c>
      <c r="J510" s="44">
        <f t="shared" si="307"/>
        <v>0.4</v>
      </c>
      <c r="K510" s="44">
        <f t="shared" si="307"/>
        <v>0.4</v>
      </c>
      <c r="L510" s="19"/>
      <c r="M510" s="21"/>
      <c r="N510" s="10" t="s">
        <v>375</v>
      </c>
    </row>
    <row r="511" spans="1:14" ht="15" hidden="1" customHeight="1" outlineLevel="1" x14ac:dyDescent="0.2">
      <c r="A511" s="11"/>
      <c r="C511" s="1" t="s">
        <v>50</v>
      </c>
      <c r="D511" s="19"/>
      <c r="E511" s="7">
        <v>0.5</v>
      </c>
      <c r="F511" s="7">
        <v>0.5</v>
      </c>
      <c r="G511" s="7">
        <v>0.5</v>
      </c>
      <c r="H511" s="7">
        <v>0.5</v>
      </c>
      <c r="I511" s="7">
        <v>0.5</v>
      </c>
      <c r="J511" s="7">
        <v>0.5</v>
      </c>
      <c r="K511" s="7">
        <v>0.5</v>
      </c>
      <c r="L511" s="19"/>
      <c r="M511" s="21"/>
      <c r="N511" s="10" t="s">
        <v>375</v>
      </c>
    </row>
    <row r="512" spans="1:14" ht="15" hidden="1" customHeight="1" outlineLevel="1" x14ac:dyDescent="0.2">
      <c r="A512" s="11"/>
      <c r="B512" s="21" t="s">
        <v>100</v>
      </c>
      <c r="C512" s="1"/>
      <c r="D512" s="19"/>
      <c r="E512" s="29">
        <f t="shared" ref="E512:K512" si="308">E515/PI()*SQRT(E513/E514)</f>
        <v>0.65401960164919271</v>
      </c>
      <c r="F512" s="29">
        <f t="shared" si="308"/>
        <v>0.65401960164919271</v>
      </c>
      <c r="G512" s="29">
        <f t="shared" si="308"/>
        <v>0.65401960164919271</v>
      </c>
      <c r="H512" s="29">
        <f t="shared" si="308"/>
        <v>1.6350490041229817</v>
      </c>
      <c r="I512" s="29">
        <f t="shared" si="308"/>
        <v>0.67894201513284613</v>
      </c>
      <c r="J512" s="29">
        <f t="shared" si="308"/>
        <v>0.67894201513284613</v>
      </c>
      <c r="K512" s="29">
        <f t="shared" si="308"/>
        <v>0.75307332026015694</v>
      </c>
      <c r="L512" s="19"/>
      <c r="M512" s="21"/>
      <c r="N512" s="10" t="s">
        <v>411</v>
      </c>
    </row>
    <row r="513" spans="1:14" ht="15" hidden="1" customHeight="1" outlineLevel="1" x14ac:dyDescent="0.2">
      <c r="A513" s="11"/>
      <c r="C513" s="11" t="s">
        <v>99</v>
      </c>
      <c r="D513" s="19"/>
      <c r="E513" s="39">
        <f t="shared" ref="E513:K513" si="309">0.6*E22</f>
        <v>144</v>
      </c>
      <c r="F513" s="39">
        <f t="shared" si="309"/>
        <v>144</v>
      </c>
      <c r="G513" s="39">
        <f t="shared" si="309"/>
        <v>144</v>
      </c>
      <c r="H513" s="39">
        <f t="shared" si="309"/>
        <v>144</v>
      </c>
      <c r="I513" s="39">
        <f t="shared" si="309"/>
        <v>144</v>
      </c>
      <c r="J513" s="39">
        <f t="shared" si="309"/>
        <v>144</v>
      </c>
      <c r="K513" s="39">
        <f t="shared" si="309"/>
        <v>144</v>
      </c>
      <c r="L513" s="19"/>
      <c r="M513" s="21" t="s">
        <v>8</v>
      </c>
      <c r="N513" s="10" t="s">
        <v>398</v>
      </c>
    </row>
    <row r="514" spans="1:14" ht="15" hidden="1" customHeight="1" outlineLevel="1" x14ac:dyDescent="0.2">
      <c r="A514" s="11"/>
      <c r="C514" s="1" t="s">
        <v>29</v>
      </c>
      <c r="D514" s="19"/>
      <c r="E514" s="35">
        <f t="shared" ref="E514:K514" si="310">E25</f>
        <v>70000</v>
      </c>
      <c r="F514" s="35">
        <f t="shared" si="310"/>
        <v>70000</v>
      </c>
      <c r="G514" s="35">
        <f t="shared" si="310"/>
        <v>70000</v>
      </c>
      <c r="H514" s="35">
        <f t="shared" si="310"/>
        <v>70000</v>
      </c>
      <c r="I514" s="35">
        <f t="shared" si="310"/>
        <v>70000</v>
      </c>
      <c r="J514" s="35">
        <f t="shared" si="310"/>
        <v>70000</v>
      </c>
      <c r="K514" s="35">
        <f t="shared" si="310"/>
        <v>70000</v>
      </c>
      <c r="L514" s="19"/>
      <c r="M514" s="21" t="s">
        <v>8</v>
      </c>
      <c r="N514" s="10" t="s">
        <v>372</v>
      </c>
    </row>
    <row r="515" spans="1:14" ht="15" hidden="1" customHeight="1" outlineLevel="1" x14ac:dyDescent="0.2">
      <c r="A515" s="11"/>
      <c r="B515" s="21" t="s">
        <v>104</v>
      </c>
      <c r="C515" s="1"/>
      <c r="D515" s="19"/>
      <c r="E515" s="35">
        <f t="shared" ref="E515:K515" si="311">1.4*E516/E518/SQRT(1+0.75*(E516/E517)^2)</f>
        <v>45.301064927396546</v>
      </c>
      <c r="F515" s="35">
        <f t="shared" si="311"/>
        <v>45.301064927396546</v>
      </c>
      <c r="G515" s="35">
        <f t="shared" si="311"/>
        <v>45.301064927396546</v>
      </c>
      <c r="H515" s="35">
        <f t="shared" si="311"/>
        <v>113.25266231849137</v>
      </c>
      <c r="I515" s="35">
        <f t="shared" si="311"/>
        <v>47.027331033983359</v>
      </c>
      <c r="J515" s="35">
        <f t="shared" si="311"/>
        <v>47.027331033983359</v>
      </c>
      <c r="K515" s="35">
        <f t="shared" si="311"/>
        <v>52.162080907315534</v>
      </c>
      <c r="L515" s="19"/>
      <c r="M515" s="21"/>
      <c r="N515" s="10" t="s">
        <v>411</v>
      </c>
    </row>
    <row r="516" spans="1:14" ht="15" hidden="1" customHeight="1" outlineLevel="1" x14ac:dyDescent="0.2">
      <c r="A516" s="11"/>
      <c r="C516" s="1" t="s">
        <v>194</v>
      </c>
      <c r="D516" s="19"/>
      <c r="E516" s="39">
        <f t="shared" ref="E516:K516" si="312">E35</f>
        <v>650</v>
      </c>
      <c r="F516" s="39">
        <f t="shared" si="312"/>
        <v>650</v>
      </c>
      <c r="G516" s="39">
        <f t="shared" si="312"/>
        <v>650</v>
      </c>
      <c r="H516" s="39">
        <f t="shared" si="312"/>
        <v>650</v>
      </c>
      <c r="I516" s="39">
        <f t="shared" si="312"/>
        <v>675</v>
      </c>
      <c r="J516" s="39">
        <f t="shared" si="312"/>
        <v>675</v>
      </c>
      <c r="K516" s="39">
        <f t="shared" si="312"/>
        <v>940</v>
      </c>
      <c r="L516" s="19"/>
      <c r="M516" s="21" t="s">
        <v>0</v>
      </c>
      <c r="N516" s="10" t="s">
        <v>411</v>
      </c>
    </row>
    <row r="517" spans="1:14" ht="15" hidden="1" customHeight="1" outlineLevel="1" x14ac:dyDescent="0.2">
      <c r="A517" s="11"/>
      <c r="C517" s="11" t="s">
        <v>10</v>
      </c>
      <c r="E517" s="3">
        <f t="shared" ref="E517:K517" si="313">E37</f>
        <v>6000</v>
      </c>
      <c r="F517" s="3">
        <f t="shared" si="313"/>
        <v>6000</v>
      </c>
      <c r="G517" s="3">
        <f t="shared" si="313"/>
        <v>6000</v>
      </c>
      <c r="H517" s="3">
        <f t="shared" si="313"/>
        <v>6000</v>
      </c>
      <c r="I517" s="3">
        <f t="shared" si="313"/>
        <v>6000</v>
      </c>
      <c r="J517" s="3">
        <f t="shared" si="313"/>
        <v>6000</v>
      </c>
      <c r="K517" s="3">
        <f t="shared" si="313"/>
        <v>6000</v>
      </c>
      <c r="M517" s="21" t="s">
        <v>0</v>
      </c>
      <c r="N517" s="10" t="s">
        <v>411</v>
      </c>
    </row>
    <row r="518" spans="1:14" ht="15" hidden="1" customHeight="1" outlineLevel="1" x14ac:dyDescent="0.2">
      <c r="A518" s="11"/>
      <c r="C518" s="1" t="s">
        <v>7</v>
      </c>
      <c r="D518" s="19"/>
      <c r="E518" s="7">
        <f t="shared" ref="E518:K518" si="314">E34</f>
        <v>20</v>
      </c>
      <c r="F518" s="7">
        <f t="shared" si="314"/>
        <v>20</v>
      </c>
      <c r="G518" s="7">
        <f t="shared" si="314"/>
        <v>20</v>
      </c>
      <c r="H518" s="7">
        <f t="shared" si="314"/>
        <v>8</v>
      </c>
      <c r="I518" s="7">
        <f t="shared" si="314"/>
        <v>20</v>
      </c>
      <c r="J518" s="7">
        <f t="shared" si="314"/>
        <v>20</v>
      </c>
      <c r="K518" s="7">
        <f t="shared" si="314"/>
        <v>25</v>
      </c>
      <c r="L518" s="19"/>
      <c r="M518" s="21" t="s">
        <v>0</v>
      </c>
      <c r="N518" s="10" t="s">
        <v>411</v>
      </c>
    </row>
    <row r="519" spans="1:14" ht="15" customHeight="1" collapsed="1" x14ac:dyDescent="0.2">
      <c r="A519" s="11"/>
      <c r="C519" s="11"/>
    </row>
    <row r="520" spans="1:14" ht="15" customHeight="1" x14ac:dyDescent="0.2">
      <c r="C520" s="11"/>
    </row>
    <row r="521" spans="1:14" ht="15" customHeight="1" x14ac:dyDescent="0.2">
      <c r="A521" s="15" t="s">
        <v>366</v>
      </c>
      <c r="C521" s="1"/>
      <c r="D521" s="37"/>
      <c r="E521" s="38"/>
      <c r="F521" s="38"/>
      <c r="G521" s="38"/>
      <c r="H521" s="38"/>
      <c r="I521" s="38"/>
      <c r="J521" s="38"/>
      <c r="K521" s="38"/>
      <c r="L521" s="37"/>
      <c r="M521" s="16"/>
      <c r="N521" s="10" t="s">
        <v>375</v>
      </c>
    </row>
    <row r="522" spans="1:14" ht="15" hidden="1" customHeight="1" outlineLevel="1" x14ac:dyDescent="0.2">
      <c r="A522" s="16"/>
      <c r="C522" s="1"/>
      <c r="D522" s="19"/>
      <c r="E522" s="39"/>
      <c r="F522" s="39"/>
      <c r="G522" s="39"/>
      <c r="H522" s="39"/>
      <c r="I522" s="39"/>
      <c r="J522" s="39"/>
      <c r="K522" s="39"/>
      <c r="L522" s="19"/>
      <c r="M522" s="21"/>
      <c r="N522" s="1"/>
    </row>
    <row r="523" spans="1:14" ht="15" hidden="1" customHeight="1" outlineLevel="1" x14ac:dyDescent="0.2">
      <c r="A523" s="17" t="s">
        <v>166</v>
      </c>
      <c r="C523" s="1"/>
      <c r="D523" s="19"/>
      <c r="E523" s="36"/>
      <c r="F523" s="36"/>
      <c r="G523" s="36"/>
      <c r="H523" s="36"/>
      <c r="I523" s="36"/>
      <c r="J523" s="36"/>
      <c r="K523" s="36"/>
      <c r="L523" s="19"/>
      <c r="M523" s="21"/>
      <c r="N523" s="10" t="s">
        <v>416</v>
      </c>
    </row>
    <row r="524" spans="1:14" ht="15" hidden="1" customHeight="1" outlineLevel="1" x14ac:dyDescent="0.2">
      <c r="A524" s="16"/>
      <c r="B524" s="21" t="s">
        <v>58</v>
      </c>
      <c r="C524" s="1"/>
      <c r="D524" s="19"/>
      <c r="E524" s="35">
        <f t="shared" ref="E524:K524" si="315">SQRT(E525/E526)*E527/E528/(1+(E527*E529/E530/E531)^2)^(1/4)</f>
        <v>79.132382875538767</v>
      </c>
      <c r="F524" s="35">
        <f t="shared" si="315"/>
        <v>79.132382875538767</v>
      </c>
      <c r="G524" s="35">
        <f t="shared" si="315"/>
        <v>79.132382875538767</v>
      </c>
      <c r="H524" s="35">
        <f t="shared" si="315"/>
        <v>64.719663547489802</v>
      </c>
      <c r="I524" s="35">
        <f t="shared" si="315"/>
        <v>103.55493188296747</v>
      </c>
      <c r="J524" s="35">
        <f t="shared" si="315"/>
        <v>103.55493188296747</v>
      </c>
      <c r="K524" s="35">
        <f t="shared" si="315"/>
        <v>38.459823589092771</v>
      </c>
      <c r="L524" s="19"/>
      <c r="M524" s="21"/>
      <c r="N524" s="10" t="s">
        <v>416</v>
      </c>
    </row>
    <row r="525" spans="1:14" ht="15" hidden="1" customHeight="1" outlineLevel="1" x14ac:dyDescent="0.2">
      <c r="A525" s="16"/>
      <c r="C525" s="1" t="s">
        <v>41</v>
      </c>
      <c r="D525" s="19"/>
      <c r="E525" s="7">
        <f t="shared" ref="E525:K526" si="316">E38</f>
        <v>1.4</v>
      </c>
      <c r="F525" s="7">
        <f t="shared" si="316"/>
        <v>1.4</v>
      </c>
      <c r="G525" s="7">
        <f t="shared" si="316"/>
        <v>1.4</v>
      </c>
      <c r="H525" s="7">
        <f t="shared" si="316"/>
        <v>1.4</v>
      </c>
      <c r="I525" s="7">
        <f t="shared" si="316"/>
        <v>1.4</v>
      </c>
      <c r="J525" s="7">
        <f t="shared" si="316"/>
        <v>1.4</v>
      </c>
      <c r="K525" s="7">
        <f t="shared" si="316"/>
        <v>1.4</v>
      </c>
      <c r="L525" s="19"/>
      <c r="M525" s="21"/>
      <c r="N525" s="10" t="s">
        <v>369</v>
      </c>
    </row>
    <row r="526" spans="1:14" ht="15" hidden="1" customHeight="1" outlineLevel="1" x14ac:dyDescent="0.2">
      <c r="A526" s="16"/>
      <c r="C526" s="1" t="s">
        <v>163</v>
      </c>
      <c r="D526" s="19"/>
      <c r="E526" s="7">
        <f t="shared" si="316"/>
        <v>1</v>
      </c>
      <c r="F526" s="7">
        <f t="shared" si="316"/>
        <v>1</v>
      </c>
      <c r="G526" s="7">
        <f t="shared" si="316"/>
        <v>1</v>
      </c>
      <c r="H526" s="7">
        <f t="shared" si="316"/>
        <v>1</v>
      </c>
      <c r="I526" s="7">
        <f t="shared" si="316"/>
        <v>1</v>
      </c>
      <c r="J526" s="7">
        <f t="shared" si="316"/>
        <v>1</v>
      </c>
      <c r="K526" s="7">
        <f t="shared" si="316"/>
        <v>1</v>
      </c>
      <c r="L526" s="19"/>
      <c r="M526" s="21"/>
      <c r="N526" s="10" t="s">
        <v>369</v>
      </c>
    </row>
    <row r="527" spans="1:14" ht="15" hidden="1" customHeight="1" outlineLevel="1" x14ac:dyDescent="0.2">
      <c r="A527" s="16"/>
      <c r="C527" s="1" t="s">
        <v>4</v>
      </c>
      <c r="D527" s="19"/>
      <c r="E527" s="39">
        <f t="shared" ref="E527:K527" si="317">E36</f>
        <v>2700</v>
      </c>
      <c r="F527" s="39">
        <f t="shared" si="317"/>
        <v>2700</v>
      </c>
      <c r="G527" s="39">
        <f t="shared" si="317"/>
        <v>2700</v>
      </c>
      <c r="H527" s="39">
        <f t="shared" si="317"/>
        <v>2700</v>
      </c>
      <c r="I527" s="39">
        <f t="shared" si="317"/>
        <v>2700</v>
      </c>
      <c r="J527" s="39">
        <f t="shared" si="317"/>
        <v>2700</v>
      </c>
      <c r="K527" s="39">
        <f t="shared" si="317"/>
        <v>2700</v>
      </c>
      <c r="L527" s="19"/>
      <c r="M527" s="21" t="s">
        <v>0</v>
      </c>
      <c r="N527" s="10" t="s">
        <v>373</v>
      </c>
    </row>
    <row r="528" spans="1:14" ht="15" hidden="1" customHeight="1" outlineLevel="1" x14ac:dyDescent="0.2">
      <c r="A528" s="16"/>
      <c r="C528" s="1" t="s">
        <v>164</v>
      </c>
      <c r="D528" s="19"/>
      <c r="E528" s="39">
        <f t="shared" ref="E528:K528" si="318">E81</f>
        <v>38.316001122624805</v>
      </c>
      <c r="F528" s="39">
        <f t="shared" si="318"/>
        <v>38.316001122624805</v>
      </c>
      <c r="G528" s="39">
        <f t="shared" si="318"/>
        <v>38.316001122624805</v>
      </c>
      <c r="H528" s="39">
        <f t="shared" si="318"/>
        <v>46.848767513605516</v>
      </c>
      <c r="I528" s="39">
        <f t="shared" si="318"/>
        <v>30.417515106024442</v>
      </c>
      <c r="J528" s="39">
        <f t="shared" si="318"/>
        <v>30.417515106024442</v>
      </c>
      <c r="K528" s="39">
        <f t="shared" si="318"/>
        <v>82.235087700584387</v>
      </c>
      <c r="L528" s="19"/>
      <c r="M528" s="21" t="s">
        <v>0</v>
      </c>
      <c r="N528" s="1"/>
    </row>
    <row r="529" spans="1:14" ht="15" hidden="1" customHeight="1" outlineLevel="1" x14ac:dyDescent="0.2">
      <c r="A529" s="16"/>
      <c r="C529" s="1" t="s">
        <v>2</v>
      </c>
      <c r="D529" s="19"/>
      <c r="E529" s="7">
        <f t="shared" ref="E529:K530" si="319">E30</f>
        <v>25</v>
      </c>
      <c r="F529" s="7">
        <f t="shared" si="319"/>
        <v>25</v>
      </c>
      <c r="G529" s="7">
        <f t="shared" si="319"/>
        <v>25</v>
      </c>
      <c r="H529" s="7">
        <f t="shared" si="319"/>
        <v>25</v>
      </c>
      <c r="I529" s="7">
        <f t="shared" si="319"/>
        <v>12.5</v>
      </c>
      <c r="J529" s="7">
        <f t="shared" si="319"/>
        <v>12.5</v>
      </c>
      <c r="K529" s="7">
        <f t="shared" si="319"/>
        <v>30</v>
      </c>
      <c r="L529" s="19"/>
      <c r="M529" s="21" t="s">
        <v>0</v>
      </c>
      <c r="N529" s="1"/>
    </row>
    <row r="530" spans="1:14" ht="15" hidden="1" customHeight="1" outlineLevel="1" x14ac:dyDescent="0.2">
      <c r="A530" s="16"/>
      <c r="C530" s="1" t="s">
        <v>16</v>
      </c>
      <c r="D530" s="19"/>
      <c r="E530" s="39">
        <f t="shared" si="319"/>
        <v>200</v>
      </c>
      <c r="F530" s="39">
        <f t="shared" si="319"/>
        <v>200</v>
      </c>
      <c r="G530" s="39">
        <f t="shared" si="319"/>
        <v>200</v>
      </c>
      <c r="H530" s="39">
        <f t="shared" si="319"/>
        <v>200</v>
      </c>
      <c r="I530" s="39">
        <f t="shared" si="319"/>
        <v>200</v>
      </c>
      <c r="J530" s="39">
        <f t="shared" si="319"/>
        <v>200</v>
      </c>
      <c r="K530" s="39">
        <f t="shared" si="319"/>
        <v>400</v>
      </c>
      <c r="L530" s="19"/>
      <c r="M530" s="21" t="s">
        <v>0</v>
      </c>
      <c r="N530" s="1"/>
    </row>
    <row r="531" spans="1:14" ht="15" hidden="1" customHeight="1" outlineLevel="1" x14ac:dyDescent="0.2">
      <c r="A531" s="16"/>
      <c r="C531" s="1" t="s">
        <v>21</v>
      </c>
      <c r="D531" s="19"/>
      <c r="E531" s="39">
        <f t="shared" ref="E531:K531" si="320">E29</f>
        <v>700</v>
      </c>
      <c r="F531" s="39">
        <f t="shared" si="320"/>
        <v>700</v>
      </c>
      <c r="G531" s="39">
        <f t="shared" si="320"/>
        <v>700</v>
      </c>
      <c r="H531" s="39">
        <f t="shared" si="320"/>
        <v>700</v>
      </c>
      <c r="I531" s="39">
        <f t="shared" si="320"/>
        <v>700</v>
      </c>
      <c r="J531" s="39">
        <f t="shared" si="320"/>
        <v>700</v>
      </c>
      <c r="K531" s="39">
        <f t="shared" si="320"/>
        <v>1000</v>
      </c>
      <c r="L531" s="19"/>
      <c r="M531" s="21" t="s">
        <v>0</v>
      </c>
      <c r="N531" s="1"/>
    </row>
    <row r="532" spans="1:14" ht="15" hidden="1" customHeight="1" outlineLevel="1" x14ac:dyDescent="0.2">
      <c r="A532" s="16"/>
      <c r="C532" s="1"/>
      <c r="D532" s="19"/>
      <c r="E532" s="39"/>
      <c r="F532" s="39"/>
      <c r="G532" s="39"/>
      <c r="H532" s="39"/>
      <c r="I532" s="39"/>
      <c r="J532" s="39"/>
      <c r="K532" s="39"/>
      <c r="L532" s="19"/>
      <c r="M532" s="21"/>
      <c r="N532" s="1"/>
    </row>
    <row r="533" spans="1:14" ht="15" hidden="1" customHeight="1" outlineLevel="1" x14ac:dyDescent="0.2">
      <c r="A533" s="17" t="s">
        <v>182</v>
      </c>
      <c r="C533" s="1"/>
      <c r="D533" s="19"/>
      <c r="E533" s="36"/>
      <c r="F533" s="36"/>
      <c r="G533" s="36"/>
      <c r="H533" s="36"/>
      <c r="I533" s="36"/>
      <c r="J533" s="36"/>
      <c r="K533" s="36"/>
      <c r="L533" s="19"/>
      <c r="M533" s="21"/>
      <c r="N533" s="10" t="s">
        <v>183</v>
      </c>
    </row>
    <row r="534" spans="1:14" ht="15" hidden="1" customHeight="1" outlineLevel="1" x14ac:dyDescent="0.2">
      <c r="A534" s="16"/>
      <c r="B534" s="21" t="s">
        <v>211</v>
      </c>
      <c r="C534" s="1"/>
      <c r="D534" s="19"/>
      <c r="E534" s="18">
        <f t="shared" ref="E534:K534" si="321">SQRT(E535/(SQRT(E537/E536)*E540))</f>
        <v>1.0340418507226694</v>
      </c>
      <c r="F534" s="18">
        <f t="shared" si="321"/>
        <v>1.0340418507226694</v>
      </c>
      <c r="G534" s="18">
        <f t="shared" si="321"/>
        <v>1.0340418507226694</v>
      </c>
      <c r="H534" s="18">
        <f t="shared" si="321"/>
        <v>0.88782130821063376</v>
      </c>
      <c r="I534" s="18">
        <f t="shared" si="321"/>
        <v>1.142217973248423</v>
      </c>
      <c r="J534" s="18">
        <f t="shared" si="321"/>
        <v>1.1001630628614396</v>
      </c>
      <c r="K534" s="18">
        <f t="shared" si="321"/>
        <v>0.3489145862181201</v>
      </c>
      <c r="L534" s="19"/>
      <c r="M534" s="21"/>
      <c r="N534" s="10" t="s">
        <v>186</v>
      </c>
    </row>
    <row r="535" spans="1:14" ht="15" hidden="1" customHeight="1" outlineLevel="1" x14ac:dyDescent="0.2">
      <c r="A535" s="16"/>
      <c r="B535" s="21" t="s">
        <v>187</v>
      </c>
      <c r="C535" s="1"/>
      <c r="D535" s="19"/>
      <c r="E535" s="35">
        <f t="shared" ref="E535:J535" si="322">E538*E539/10^6</f>
        <v>1095.2857142857142</v>
      </c>
      <c r="F535" s="35">
        <f t="shared" si="322"/>
        <v>1095.2857142857142</v>
      </c>
      <c r="G535" s="35">
        <f t="shared" si="322"/>
        <v>1095.2857142857142</v>
      </c>
      <c r="H535" s="35">
        <f t="shared" si="322"/>
        <v>764.79998144616752</v>
      </c>
      <c r="I535" s="35">
        <f t="shared" si="322"/>
        <v>688.29539343039073</v>
      </c>
      <c r="J535" s="35">
        <f t="shared" si="322"/>
        <v>638.54425677824202</v>
      </c>
      <c r="K535" s="35">
        <f>K538*K539/10^6</f>
        <v>1549.2925000000002</v>
      </c>
      <c r="L535" s="19"/>
      <c r="M535" s="21" t="s">
        <v>6</v>
      </c>
      <c r="N535" s="10" t="s">
        <v>188</v>
      </c>
    </row>
    <row r="536" spans="1:14" ht="15" hidden="1" customHeight="1" outlineLevel="1" x14ac:dyDescent="0.2">
      <c r="A536" s="16"/>
      <c r="C536" s="1" t="s">
        <v>41</v>
      </c>
      <c r="D536" s="19"/>
      <c r="E536" s="7">
        <f t="shared" ref="E536:K537" si="323">E38</f>
        <v>1.4</v>
      </c>
      <c r="F536" s="7">
        <f t="shared" si="323"/>
        <v>1.4</v>
      </c>
      <c r="G536" s="7">
        <f t="shared" si="323"/>
        <v>1.4</v>
      </c>
      <c r="H536" s="7">
        <f t="shared" si="323"/>
        <v>1.4</v>
      </c>
      <c r="I536" s="7">
        <f t="shared" si="323"/>
        <v>1.4</v>
      </c>
      <c r="J536" s="7">
        <f t="shared" si="323"/>
        <v>1.4</v>
      </c>
      <c r="K536" s="7">
        <f t="shared" si="323"/>
        <v>1.4</v>
      </c>
      <c r="L536" s="19"/>
      <c r="M536" s="21"/>
      <c r="N536" s="10" t="s">
        <v>369</v>
      </c>
    </row>
    <row r="537" spans="1:14" ht="15" hidden="1" customHeight="1" outlineLevel="1" x14ac:dyDescent="0.2">
      <c r="A537" s="16"/>
      <c r="C537" s="1" t="s">
        <v>163</v>
      </c>
      <c r="D537" s="19"/>
      <c r="E537" s="7">
        <f t="shared" si="323"/>
        <v>1</v>
      </c>
      <c r="F537" s="7">
        <f t="shared" si="323"/>
        <v>1</v>
      </c>
      <c r="G537" s="7">
        <f t="shared" si="323"/>
        <v>1</v>
      </c>
      <c r="H537" s="7">
        <f t="shared" si="323"/>
        <v>1</v>
      </c>
      <c r="I537" s="7">
        <f t="shared" si="323"/>
        <v>1</v>
      </c>
      <c r="J537" s="7">
        <f t="shared" si="323"/>
        <v>1</v>
      </c>
      <c r="K537" s="7">
        <f t="shared" si="323"/>
        <v>1</v>
      </c>
      <c r="L537" s="19"/>
      <c r="M537" s="21"/>
      <c r="N537" s="10" t="s">
        <v>369</v>
      </c>
    </row>
    <row r="538" spans="1:14" ht="15" hidden="1" customHeight="1" outlineLevel="1" x14ac:dyDescent="0.2">
      <c r="A538" s="16"/>
      <c r="C538" s="1" t="s">
        <v>161</v>
      </c>
      <c r="D538" s="19"/>
      <c r="E538" s="26">
        <f t="shared" ref="E538:K538" si="324">MIN(E78:E79)</f>
        <v>4563690.4761904757</v>
      </c>
      <c r="F538" s="26">
        <f t="shared" si="324"/>
        <v>4563690.4761904757</v>
      </c>
      <c r="G538" s="26">
        <f t="shared" si="324"/>
        <v>4563690.4761904757</v>
      </c>
      <c r="H538" s="26">
        <f t="shared" si="324"/>
        <v>3779047.6190476185</v>
      </c>
      <c r="I538" s="26">
        <f t="shared" si="324"/>
        <v>3152752.9761904757</v>
      </c>
      <c r="J538" s="26">
        <f t="shared" si="324"/>
        <v>3152752.9761904757</v>
      </c>
      <c r="K538" s="26">
        <f t="shared" si="324"/>
        <v>14755166.666666668</v>
      </c>
      <c r="L538" s="19"/>
      <c r="M538" s="21" t="s">
        <v>214</v>
      </c>
      <c r="N538" s="1"/>
    </row>
    <row r="539" spans="1:14" ht="15" hidden="1" customHeight="1" outlineLevel="1" x14ac:dyDescent="0.2">
      <c r="A539" s="16"/>
      <c r="C539" s="1" t="s">
        <v>43</v>
      </c>
      <c r="D539" s="19"/>
      <c r="E539" s="35">
        <f t="shared" ref="E539:J539" si="325">E411</f>
        <v>240</v>
      </c>
      <c r="F539" s="35">
        <f t="shared" si="325"/>
        <v>240</v>
      </c>
      <c r="G539" s="35">
        <f t="shared" si="325"/>
        <v>240</v>
      </c>
      <c r="H539" s="35">
        <f t="shared" si="325"/>
        <v>202.37902734840625</v>
      </c>
      <c r="I539" s="35">
        <f t="shared" si="325"/>
        <v>218.31567478593567</v>
      </c>
      <c r="J539" s="35">
        <f t="shared" si="325"/>
        <v>202.53545444267749</v>
      </c>
      <c r="K539" s="35">
        <f>K411</f>
        <v>105</v>
      </c>
      <c r="L539" s="19"/>
      <c r="M539" s="21" t="s">
        <v>8</v>
      </c>
      <c r="N539" s="10" t="s">
        <v>398</v>
      </c>
    </row>
    <row r="540" spans="1:14" ht="15" hidden="1" customHeight="1" outlineLevel="1" x14ac:dyDescent="0.2">
      <c r="A540" s="16"/>
      <c r="B540" s="21" t="s">
        <v>212</v>
      </c>
      <c r="C540" s="1"/>
      <c r="D540" s="19"/>
      <c r="E540" s="35">
        <f t="shared" ref="E540:K540" si="326">PI()/E541*(SQRT(E542*E544*E543*E545+(PI()/E541)^2*E542*E544*E542*E546+(E547*PI()*E542*E544/E541)^2)+E547*PI()*E542*E544/E541)/10^6</f>
        <v>1212.0351321194926</v>
      </c>
      <c r="F540" s="35">
        <f t="shared" si="326"/>
        <v>1212.0351321194926</v>
      </c>
      <c r="G540" s="35">
        <f t="shared" si="326"/>
        <v>1212.0351321194926</v>
      </c>
      <c r="H540" s="35">
        <f t="shared" si="326"/>
        <v>1148.0498821110937</v>
      </c>
      <c r="I540" s="35">
        <f t="shared" si="326"/>
        <v>624.22463119852</v>
      </c>
      <c r="J540" s="35">
        <f t="shared" si="326"/>
        <v>624.22463119852</v>
      </c>
      <c r="K540" s="35">
        <f t="shared" si="326"/>
        <v>15057.718910742851</v>
      </c>
      <c r="L540" s="19"/>
      <c r="M540" s="21" t="s">
        <v>6</v>
      </c>
      <c r="N540" s="10" t="s">
        <v>190</v>
      </c>
    </row>
    <row r="541" spans="1:14" ht="15" hidden="1" customHeight="1" outlineLevel="1" x14ac:dyDescent="0.2">
      <c r="A541" s="16"/>
      <c r="C541" s="1" t="s">
        <v>4</v>
      </c>
      <c r="D541" s="19"/>
      <c r="E541" s="39">
        <f t="shared" ref="E541:K541" si="327">E36</f>
        <v>2700</v>
      </c>
      <c r="F541" s="39">
        <f t="shared" si="327"/>
        <v>2700</v>
      </c>
      <c r="G541" s="39">
        <f t="shared" si="327"/>
        <v>2700</v>
      </c>
      <c r="H541" s="39">
        <f t="shared" si="327"/>
        <v>2700</v>
      </c>
      <c r="I541" s="39">
        <f t="shared" si="327"/>
        <v>2700</v>
      </c>
      <c r="J541" s="39">
        <f t="shared" si="327"/>
        <v>2700</v>
      </c>
      <c r="K541" s="39">
        <f t="shared" si="327"/>
        <v>2700</v>
      </c>
      <c r="L541" s="19"/>
      <c r="M541" s="21" t="s">
        <v>0</v>
      </c>
      <c r="N541" s="10" t="s">
        <v>373</v>
      </c>
    </row>
    <row r="542" spans="1:14" ht="15" hidden="1" customHeight="1" outlineLevel="1" x14ac:dyDescent="0.2">
      <c r="A542" s="16"/>
      <c r="C542" s="1" t="s">
        <v>29</v>
      </c>
      <c r="D542" s="19"/>
      <c r="E542" s="39">
        <f t="shared" ref="E542:K543" si="328">E25</f>
        <v>70000</v>
      </c>
      <c r="F542" s="39">
        <f t="shared" si="328"/>
        <v>70000</v>
      </c>
      <c r="G542" s="39">
        <f t="shared" si="328"/>
        <v>70000</v>
      </c>
      <c r="H542" s="39">
        <f t="shared" si="328"/>
        <v>70000</v>
      </c>
      <c r="I542" s="39">
        <f t="shared" si="328"/>
        <v>70000</v>
      </c>
      <c r="J542" s="39">
        <f t="shared" si="328"/>
        <v>70000</v>
      </c>
      <c r="K542" s="39">
        <f t="shared" si="328"/>
        <v>70000</v>
      </c>
      <c r="L542" s="19"/>
      <c r="M542" s="21" t="s">
        <v>8</v>
      </c>
      <c r="N542" s="10" t="s">
        <v>372</v>
      </c>
    </row>
    <row r="543" spans="1:14" ht="15" hidden="1" customHeight="1" outlineLevel="1" x14ac:dyDescent="0.2">
      <c r="A543" s="16"/>
      <c r="C543" s="1" t="s">
        <v>189</v>
      </c>
      <c r="D543" s="19"/>
      <c r="E543" s="39">
        <f t="shared" si="328"/>
        <v>26000</v>
      </c>
      <c r="F543" s="39">
        <f t="shared" si="328"/>
        <v>26000</v>
      </c>
      <c r="G543" s="39">
        <f t="shared" si="328"/>
        <v>26000</v>
      </c>
      <c r="H543" s="39">
        <f t="shared" si="328"/>
        <v>26000</v>
      </c>
      <c r="I543" s="39">
        <f t="shared" si="328"/>
        <v>26000</v>
      </c>
      <c r="J543" s="39">
        <f t="shared" si="328"/>
        <v>26000</v>
      </c>
      <c r="K543" s="39">
        <f t="shared" si="328"/>
        <v>26000</v>
      </c>
      <c r="L543" s="19"/>
      <c r="M543" s="21" t="s">
        <v>8</v>
      </c>
      <c r="N543" s="10" t="s">
        <v>372</v>
      </c>
    </row>
    <row r="544" spans="1:14" ht="15" hidden="1" customHeight="1" outlineLevel="1" x14ac:dyDescent="0.2">
      <c r="A544" s="16"/>
      <c r="C544" s="1" t="s">
        <v>32</v>
      </c>
      <c r="D544" s="19"/>
      <c r="E544" s="26">
        <f t="shared" ref="E544:K544" si="329">E80</f>
        <v>33766666.666666664</v>
      </c>
      <c r="F544" s="26">
        <f t="shared" si="329"/>
        <v>33766666.666666664</v>
      </c>
      <c r="G544" s="26">
        <f t="shared" si="329"/>
        <v>33766666.666666664</v>
      </c>
      <c r="H544" s="26">
        <f t="shared" si="329"/>
        <v>33361066.666666664</v>
      </c>
      <c r="I544" s="26">
        <f t="shared" si="329"/>
        <v>17116666.666666664</v>
      </c>
      <c r="J544" s="26">
        <f t="shared" si="329"/>
        <v>17116666.666666664</v>
      </c>
      <c r="K544" s="26">
        <f t="shared" si="329"/>
        <v>321223958.33333331</v>
      </c>
      <c r="L544" s="19"/>
      <c r="M544" s="10" t="s">
        <v>306</v>
      </c>
    </row>
    <row r="545" spans="1:14" ht="15" hidden="1" customHeight="1" outlineLevel="1" x14ac:dyDescent="0.2">
      <c r="A545" s="16"/>
      <c r="C545" s="1" t="s">
        <v>145</v>
      </c>
      <c r="D545" s="19"/>
      <c r="E545" s="26">
        <f t="shared" ref="E545:K545" si="330">E84</f>
        <v>3816666.6666666665</v>
      </c>
      <c r="F545" s="26">
        <f t="shared" si="330"/>
        <v>3816666.6666666665</v>
      </c>
      <c r="G545" s="26">
        <f t="shared" si="330"/>
        <v>3816666.6666666665</v>
      </c>
      <c r="H545" s="26">
        <f t="shared" si="330"/>
        <v>2194266.6666666665</v>
      </c>
      <c r="I545" s="26">
        <f t="shared" si="330"/>
        <v>2060416.6666666667</v>
      </c>
      <c r="J545" s="26">
        <f t="shared" si="330"/>
        <v>2060416.6666666667</v>
      </c>
      <c r="K545" s="26">
        <f t="shared" si="330"/>
        <v>12095833.333333334</v>
      </c>
      <c r="L545" s="19"/>
      <c r="M545" s="10" t="s">
        <v>306</v>
      </c>
      <c r="N545" s="10" t="s">
        <v>152</v>
      </c>
    </row>
    <row r="546" spans="1:14" ht="15" hidden="1" customHeight="1" outlineLevel="1" x14ac:dyDescent="0.2">
      <c r="A546" s="16"/>
      <c r="C546" s="1" t="s">
        <v>150</v>
      </c>
      <c r="D546" s="19"/>
      <c r="E546" s="26">
        <f t="shared" ref="E546:K547" si="331">E89</f>
        <v>3796875000000</v>
      </c>
      <c r="F546" s="26">
        <f t="shared" si="331"/>
        <v>3796875000000</v>
      </c>
      <c r="G546" s="26">
        <f t="shared" si="331"/>
        <v>3796875000000</v>
      </c>
      <c r="H546" s="26">
        <f t="shared" si="331"/>
        <v>3796875000000</v>
      </c>
      <c r="I546" s="26">
        <f t="shared" si="331"/>
        <v>1969401041666.6665</v>
      </c>
      <c r="J546" s="26">
        <f t="shared" si="331"/>
        <v>1969401041666.6665</v>
      </c>
      <c r="K546" s="26">
        <f t="shared" si="331"/>
        <v>75272000000000</v>
      </c>
      <c r="L546" s="19"/>
      <c r="M546" s="10" t="s">
        <v>307</v>
      </c>
      <c r="N546" s="10" t="s">
        <v>154</v>
      </c>
    </row>
    <row r="547" spans="1:14" ht="15" hidden="1" customHeight="1" outlineLevel="1" x14ac:dyDescent="0.2">
      <c r="A547" s="16"/>
      <c r="C547" s="1" t="s">
        <v>151</v>
      </c>
      <c r="D547" s="19"/>
      <c r="E547" s="39">
        <f t="shared" si="331"/>
        <v>0</v>
      </c>
      <c r="F547" s="39">
        <f t="shared" si="331"/>
        <v>0</v>
      </c>
      <c r="G547" s="39">
        <f t="shared" si="331"/>
        <v>0</v>
      </c>
      <c r="H547" s="39">
        <f t="shared" si="331"/>
        <v>0</v>
      </c>
      <c r="I547" s="39">
        <f t="shared" si="331"/>
        <v>0</v>
      </c>
      <c r="J547" s="39">
        <f t="shared" si="331"/>
        <v>0</v>
      </c>
      <c r="K547" s="39">
        <f t="shared" si="331"/>
        <v>0</v>
      </c>
      <c r="L547" s="19"/>
      <c r="M547" s="21" t="s">
        <v>0</v>
      </c>
      <c r="N547" s="10" t="s">
        <v>184</v>
      </c>
    </row>
    <row r="548" spans="1:14" ht="15" customHeight="1" collapsed="1" x14ac:dyDescent="0.2">
      <c r="A548" s="16"/>
      <c r="C548" s="11"/>
    </row>
    <row r="549" spans="1:14" ht="15" customHeight="1" x14ac:dyDescent="0.2">
      <c r="A549" s="16"/>
      <c r="C549" s="11"/>
    </row>
    <row r="550" spans="1:14" ht="15" customHeight="1" x14ac:dyDescent="0.2">
      <c r="A550" s="16"/>
      <c r="C550" s="11"/>
    </row>
    <row r="551" spans="1:14" ht="15" customHeight="1" x14ac:dyDescent="0.2">
      <c r="A551" s="16"/>
      <c r="C551" s="11"/>
    </row>
    <row r="552" spans="1:14" ht="15" customHeight="1" x14ac:dyDescent="0.2">
      <c r="A552" s="16"/>
      <c r="C552" s="11"/>
    </row>
    <row r="553" spans="1:14" ht="15" customHeight="1" x14ac:dyDescent="0.2">
      <c r="A553" s="16"/>
    </row>
    <row r="554" spans="1:14" ht="15" customHeight="1" x14ac:dyDescent="0.2">
      <c r="A554" s="16"/>
    </row>
  </sheetData>
  <phoneticPr fontId="7" type="noConversion"/>
  <printOptions gridLines="1"/>
  <pageMargins left="0.39370078740157483" right="0.39370078740157483" top="0.39370078740157483" bottom="0.39370078740157483" header="0.31496062992125984" footer="0.31496062992125984"/>
  <pageSetup paperSize="120" scale="44" fitToHeight="2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Calculs</vt:lpstr>
      <vt:lpstr>Calculs!Impression_des_titres</vt:lpstr>
      <vt:lpstr>Calculs!Zone_d_impression</vt:lpstr>
    </vt:vector>
  </TitlesOfParts>
  <Company>GENIVAR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Cusson</dc:creator>
  <cp:lastModifiedBy>Cusson, Benoit</cp:lastModifiedBy>
  <cp:lastPrinted>2022-11-11T16:09:14Z</cp:lastPrinted>
  <dcterms:created xsi:type="dcterms:W3CDTF">2014-06-05T18:47:29Z</dcterms:created>
  <dcterms:modified xsi:type="dcterms:W3CDTF">2022-11-11T16:15:03Z</dcterms:modified>
</cp:coreProperties>
</file>