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2"/>
  <workbookPr codeName="ThisWorkbook" defaultThemeVersion="124226"/>
  <mc:AlternateContent xmlns:mc="http://schemas.openxmlformats.org/markup-compatibility/2006">
    <mc:Choice Requires="x15">
      <x15ac:absPath xmlns:x15ac="http://schemas.microsoft.com/office/spreadsheetml/2010/11/ac" url="G:\6 - CEIAL\3. Formation\ALU-COMPETENCES\Contenus\0-CONTENUS PRETS\FAIT_Dimensionnement de poutres assemblées en aluminium - Résistance flexion et cisaillement - WSP\"/>
    </mc:Choice>
  </mc:AlternateContent>
  <xr:revisionPtr revIDLastSave="0" documentId="13_ncr:1_{6B447C6E-5A49-417B-8899-31433AC48BF6}" xr6:coauthVersionLast="36" xr6:coauthVersionMax="47" xr10:uidLastSave="{00000000-0000-0000-0000-000000000000}"/>
  <bookViews>
    <workbookView xWindow="0" yWindow="0" windowWidth="14380" windowHeight="4880" tabRatio="818" activeTab="3" xr2:uid="{00000000-000D-0000-FFFF-FFFF00000000}"/>
  </bookViews>
  <sheets>
    <sheet name="Informations" sheetId="24" r:id="rId1"/>
    <sheet name="Situations" sheetId="25" r:id="rId2"/>
    <sheet name="Calculs" sheetId="23" r:id="rId3"/>
    <sheet name="Section soudée" sheetId="26" r:id="rId4"/>
  </sheets>
  <definedNames>
    <definedName name="bulle">#REF!</definedName>
    <definedName name="_xlnm.Print_Titles" localSheetId="2">Calculs!$1:$6</definedName>
    <definedName name="_xlnm.Print_Area" localSheetId="2">Calculs!$A$1:$P$519</definedName>
    <definedName name="_xlnm.Print_Area" localSheetId="0">Informations!$A$1:$C$96</definedName>
    <definedName name="_xlnm.Print_Area" localSheetId="3">'Section soudée'!$A$1:$P$37</definedName>
    <definedName name="_xlnm.Print_Area" localSheetId="1">Situations!$A$1:$C$3</definedName>
  </definedNames>
  <calcPr calcId="191029"/>
</workbook>
</file>

<file path=xl/calcChain.xml><?xml version="1.0" encoding="utf-8"?>
<calcChain xmlns="http://schemas.openxmlformats.org/spreadsheetml/2006/main">
  <c r="E32" i="23" l="1"/>
  <c r="E33" i="23"/>
  <c r="F22" i="23"/>
  <c r="F346" i="23" s="1"/>
  <c r="G22" i="23"/>
  <c r="G380" i="23" s="1"/>
  <c r="H22" i="23"/>
  <c r="I22" i="23"/>
  <c r="I369" i="23" s="1"/>
  <c r="J22" i="23"/>
  <c r="J413" i="23" s="1"/>
  <c r="K22" i="23"/>
  <c r="K472" i="23" s="1"/>
  <c r="L22" i="23"/>
  <c r="L369" i="23" s="1"/>
  <c r="M22" i="23"/>
  <c r="M276" i="23" s="1"/>
  <c r="F23" i="23"/>
  <c r="F384" i="23" s="1"/>
  <c r="G23" i="23"/>
  <c r="G350" i="23" s="1"/>
  <c r="H23" i="23"/>
  <c r="H350" i="23" s="1"/>
  <c r="I23" i="23"/>
  <c r="I361" i="23" s="1"/>
  <c r="J23" i="23"/>
  <c r="J373" i="23" s="1"/>
  <c r="K23" i="23"/>
  <c r="K384" i="23" s="1"/>
  <c r="L23" i="23"/>
  <c r="L361" i="23" s="1"/>
  <c r="M23" i="23"/>
  <c r="M350" i="23" s="1"/>
  <c r="F24" i="23"/>
  <c r="F431" i="23" s="1"/>
  <c r="G24" i="23"/>
  <c r="G431" i="23" s="1"/>
  <c r="H24" i="23"/>
  <c r="H431" i="23" s="1"/>
  <c r="I24" i="23"/>
  <c r="J24" i="23"/>
  <c r="J431" i="23" s="1"/>
  <c r="K24" i="23"/>
  <c r="L24" i="23"/>
  <c r="M24" i="23"/>
  <c r="M417" i="23" s="1"/>
  <c r="F25" i="23"/>
  <c r="F495" i="23" s="1"/>
  <c r="G25" i="23"/>
  <c r="G427" i="23" s="1"/>
  <c r="H25" i="23"/>
  <c r="H427" i="23" s="1"/>
  <c r="I25" i="23"/>
  <c r="I277" i="23" s="1"/>
  <c r="J25" i="23"/>
  <c r="J514" i="23" s="1"/>
  <c r="K25" i="23"/>
  <c r="K427" i="23" s="1"/>
  <c r="L25" i="23"/>
  <c r="L427" i="23" s="1"/>
  <c r="M25" i="23"/>
  <c r="M277" i="23" s="1"/>
  <c r="F26" i="23"/>
  <c r="F543" i="23" s="1"/>
  <c r="G26" i="23"/>
  <c r="G543" i="23" s="1"/>
  <c r="H26" i="23"/>
  <c r="H543" i="23" s="1"/>
  <c r="I26" i="23"/>
  <c r="I543" i="23" s="1"/>
  <c r="J26" i="23"/>
  <c r="K26" i="23"/>
  <c r="K543" i="23" s="1"/>
  <c r="L26" i="23"/>
  <c r="L543" i="23" s="1"/>
  <c r="M26" i="23"/>
  <c r="M543" i="23" s="1"/>
  <c r="F29" i="23"/>
  <c r="F531" i="23" s="1"/>
  <c r="G29" i="23"/>
  <c r="G531" i="23" s="1"/>
  <c r="H29" i="23"/>
  <c r="H531" i="23" s="1"/>
  <c r="I29" i="23"/>
  <c r="J29" i="23"/>
  <c r="J531" i="23" s="1"/>
  <c r="K29" i="23"/>
  <c r="K531" i="23" s="1"/>
  <c r="L29" i="23"/>
  <c r="L531" i="23" s="1"/>
  <c r="M29" i="23"/>
  <c r="M531" i="23" s="1"/>
  <c r="F30" i="23"/>
  <c r="F199" i="23" s="1"/>
  <c r="G30" i="23"/>
  <c r="H30" i="23"/>
  <c r="H460" i="23" s="1"/>
  <c r="I30" i="23"/>
  <c r="I106" i="23" s="1"/>
  <c r="J30" i="23"/>
  <c r="J460" i="23" s="1"/>
  <c r="K30" i="23"/>
  <c r="K460" i="23" s="1"/>
  <c r="L30" i="23"/>
  <c r="L106" i="23" s="1"/>
  <c r="M30" i="23"/>
  <c r="M106" i="23" s="1"/>
  <c r="F31" i="23"/>
  <c r="F530" i="23" s="1"/>
  <c r="G31" i="23"/>
  <c r="G530" i="23" s="1"/>
  <c r="H31" i="23"/>
  <c r="H530" i="23" s="1"/>
  <c r="I31" i="23"/>
  <c r="I530" i="23" s="1"/>
  <c r="J31" i="23"/>
  <c r="J459" i="23" s="1"/>
  <c r="K31" i="23"/>
  <c r="K459" i="23" s="1"/>
  <c r="L31" i="23"/>
  <c r="M31" i="23"/>
  <c r="M459" i="23" s="1"/>
  <c r="F34" i="23"/>
  <c r="F479" i="23" s="1"/>
  <c r="G34" i="23"/>
  <c r="G113" i="23" s="1"/>
  <c r="H34" i="23"/>
  <c r="H109" i="23" s="1"/>
  <c r="I34" i="23"/>
  <c r="I479" i="23" s="1"/>
  <c r="J34" i="23"/>
  <c r="J118" i="23" s="1"/>
  <c r="J151" i="23" s="1"/>
  <c r="K34" i="23"/>
  <c r="K206" i="23" s="1"/>
  <c r="L34" i="23"/>
  <c r="L119" i="23" s="1"/>
  <c r="L154" i="23" s="1"/>
  <c r="M34" i="23"/>
  <c r="M119" i="23" s="1"/>
  <c r="M154" i="23" s="1"/>
  <c r="F36" i="23"/>
  <c r="F541" i="23" s="1"/>
  <c r="G36" i="23"/>
  <c r="G541" i="23" s="1"/>
  <c r="H36" i="23"/>
  <c r="H541" i="23" s="1"/>
  <c r="I36" i="23"/>
  <c r="I541" i="23" s="1"/>
  <c r="J36" i="23"/>
  <c r="J527" i="23" s="1"/>
  <c r="K36" i="23"/>
  <c r="K527" i="23" s="1"/>
  <c r="L36" i="23"/>
  <c r="L440" i="23" s="1"/>
  <c r="M36" i="23"/>
  <c r="M541" i="23" s="1"/>
  <c r="F37" i="23"/>
  <c r="F517" i="23" s="1"/>
  <c r="G37" i="23"/>
  <c r="G517" i="23" s="1"/>
  <c r="H37" i="23"/>
  <c r="H517" i="23" s="1"/>
  <c r="I37" i="23"/>
  <c r="I517" i="23" s="1"/>
  <c r="J37" i="23"/>
  <c r="J517" i="23" s="1"/>
  <c r="K37" i="23"/>
  <c r="K517" i="23" s="1"/>
  <c r="L37" i="23"/>
  <c r="L517" i="23" s="1"/>
  <c r="M37" i="23"/>
  <c r="M517" i="23" s="1"/>
  <c r="F38" i="23"/>
  <c r="F525" i="23" s="1"/>
  <c r="G38" i="23"/>
  <c r="G437" i="23" s="1"/>
  <c r="H38" i="23"/>
  <c r="H525" i="23" s="1"/>
  <c r="I38" i="23"/>
  <c r="I437" i="23" s="1"/>
  <c r="J38" i="23"/>
  <c r="J536" i="23" s="1"/>
  <c r="K38" i="23"/>
  <c r="K525" i="23" s="1"/>
  <c r="L38" i="23"/>
  <c r="L536" i="23" s="1"/>
  <c r="M38" i="23"/>
  <c r="M525" i="23" s="1"/>
  <c r="F39" i="23"/>
  <c r="F438" i="23" s="1"/>
  <c r="G39" i="23"/>
  <c r="G438" i="23" s="1"/>
  <c r="H39" i="23"/>
  <c r="H438" i="23" s="1"/>
  <c r="I39" i="23"/>
  <c r="I526" i="23" s="1"/>
  <c r="J39" i="23"/>
  <c r="J526" i="23" s="1"/>
  <c r="K39" i="23"/>
  <c r="K526" i="23" s="1"/>
  <c r="L39" i="23"/>
  <c r="L438" i="23" s="1"/>
  <c r="M39" i="23"/>
  <c r="M438" i="23" s="1"/>
  <c r="E49" i="23"/>
  <c r="E423" i="23" s="1"/>
  <c r="F49" i="23"/>
  <c r="F408" i="23" s="1"/>
  <c r="G49" i="23"/>
  <c r="G423" i="23" s="1"/>
  <c r="H49" i="23"/>
  <c r="H408" i="23" s="1"/>
  <c r="I49" i="23"/>
  <c r="I423" i="23" s="1"/>
  <c r="J49" i="23"/>
  <c r="J423" i="23" s="1"/>
  <c r="K49" i="23"/>
  <c r="K408" i="23" s="1"/>
  <c r="L49" i="23"/>
  <c r="L408" i="23" s="1"/>
  <c r="M49" i="23"/>
  <c r="M408" i="23" s="1"/>
  <c r="E61" i="23"/>
  <c r="E85" i="23"/>
  <c r="E106" i="23"/>
  <c r="E107" i="23"/>
  <c r="E109" i="23"/>
  <c r="E108" i="23" s="1"/>
  <c r="E113" i="23"/>
  <c r="E114" i="23"/>
  <c r="E115" i="23"/>
  <c r="E142" i="23" s="1"/>
  <c r="E116" i="23"/>
  <c r="E145" i="23" s="1"/>
  <c r="E117" i="23"/>
  <c r="E148" i="23" s="1"/>
  <c r="E118" i="23"/>
  <c r="E151" i="23" s="1"/>
  <c r="E119" i="23"/>
  <c r="E154" i="23" s="1"/>
  <c r="G120" i="23"/>
  <c r="G124" i="23" s="1"/>
  <c r="G186" i="23" s="1"/>
  <c r="H120" i="23"/>
  <c r="H182" i="23" s="1"/>
  <c r="I120" i="23"/>
  <c r="I182" i="23" s="1"/>
  <c r="J120" i="23"/>
  <c r="J122" i="23" s="1"/>
  <c r="J184" i="23" s="1"/>
  <c r="F121" i="23"/>
  <c r="F183" i="23" s="1"/>
  <c r="G121" i="23"/>
  <c r="G123" i="23" s="1"/>
  <c r="G185" i="23" s="1"/>
  <c r="E183" i="23"/>
  <c r="E184" i="23"/>
  <c r="E185" i="23"/>
  <c r="F185" i="23"/>
  <c r="H185" i="23"/>
  <c r="I185" i="23"/>
  <c r="J185" i="23"/>
  <c r="E186" i="23"/>
  <c r="F186" i="23"/>
  <c r="H186" i="23"/>
  <c r="I186" i="23"/>
  <c r="J186" i="23"/>
  <c r="E189" i="23"/>
  <c r="E200" i="23" s="1"/>
  <c r="F189" i="23"/>
  <c r="G189" i="23"/>
  <c r="E190" i="23"/>
  <c r="F190" i="23"/>
  <c r="G190" i="23"/>
  <c r="E193" i="23"/>
  <c r="E209" i="23" s="1"/>
  <c r="E194" i="23"/>
  <c r="E210" i="23" s="1"/>
  <c r="E195" i="23"/>
  <c r="E211" i="23" s="1"/>
  <c r="F195" i="23"/>
  <c r="H195" i="23"/>
  <c r="I195" i="23"/>
  <c r="J195" i="23"/>
  <c r="E196" i="23"/>
  <c r="E212" i="23" s="1"/>
  <c r="F196" i="23"/>
  <c r="H196" i="23"/>
  <c r="I196" i="23"/>
  <c r="J196" i="23"/>
  <c r="E199" i="23"/>
  <c r="E202" i="23"/>
  <c r="E201" i="23" s="1"/>
  <c r="E206" i="23"/>
  <c r="E215" i="23"/>
  <c r="E216" i="23"/>
  <c r="E217" i="23"/>
  <c r="F217" i="23"/>
  <c r="H217" i="23"/>
  <c r="I217" i="23"/>
  <c r="J217" i="23"/>
  <c r="E218" i="23"/>
  <c r="F218" i="23"/>
  <c r="H218" i="23"/>
  <c r="I218" i="23"/>
  <c r="J218" i="23"/>
  <c r="E273" i="23"/>
  <c r="F273" i="23"/>
  <c r="G273" i="23"/>
  <c r="H273" i="23"/>
  <c r="I273" i="23"/>
  <c r="J273" i="23"/>
  <c r="K273" i="23"/>
  <c r="L273" i="23"/>
  <c r="M273" i="23"/>
  <c r="E276" i="23"/>
  <c r="E277" i="23"/>
  <c r="E283" i="23"/>
  <c r="E288" i="23"/>
  <c r="E192" i="23" s="1"/>
  <c r="E208" i="23" s="1"/>
  <c r="E346" i="23"/>
  <c r="E350" i="23"/>
  <c r="E357" i="23"/>
  <c r="E361" i="23"/>
  <c r="E369" i="23"/>
  <c r="E373" i="23"/>
  <c r="E380" i="23"/>
  <c r="E384" i="23"/>
  <c r="E412" i="23"/>
  <c r="E413" i="23"/>
  <c r="E420" i="23"/>
  <c r="E401" i="23" s="1"/>
  <c r="M420" i="23"/>
  <c r="M401" i="23" s="1"/>
  <c r="E427" i="23"/>
  <c r="E430" i="23"/>
  <c r="E431" i="23"/>
  <c r="E437" i="23"/>
  <c r="E438" i="23"/>
  <c r="E440" i="23"/>
  <c r="E452" i="23"/>
  <c r="F452" i="23"/>
  <c r="G452" i="23"/>
  <c r="H452" i="23"/>
  <c r="I452" i="23"/>
  <c r="J452" i="23"/>
  <c r="K452" i="23"/>
  <c r="L452" i="23"/>
  <c r="M452" i="23"/>
  <c r="E455" i="23"/>
  <c r="M455" i="23"/>
  <c r="E456" i="23"/>
  <c r="E459" i="23"/>
  <c r="E460" i="23"/>
  <c r="E462" i="23"/>
  <c r="E469" i="23"/>
  <c r="F469" i="23"/>
  <c r="G469" i="23"/>
  <c r="H469" i="23"/>
  <c r="I469" i="23"/>
  <c r="J469" i="23"/>
  <c r="K469" i="23"/>
  <c r="L469" i="23"/>
  <c r="M469" i="23"/>
  <c r="E472" i="23"/>
  <c r="E473" i="23"/>
  <c r="E479" i="23"/>
  <c r="E491" i="23"/>
  <c r="F491" i="23"/>
  <c r="G491" i="23"/>
  <c r="H491" i="23"/>
  <c r="I491" i="23"/>
  <c r="J491" i="23"/>
  <c r="K491" i="23"/>
  <c r="L491" i="23"/>
  <c r="M491" i="23"/>
  <c r="E494" i="23"/>
  <c r="E495" i="23"/>
  <c r="E498" i="23"/>
  <c r="E510" i="23"/>
  <c r="F510" i="23"/>
  <c r="G510" i="23"/>
  <c r="H510" i="23"/>
  <c r="I510" i="23"/>
  <c r="J510" i="23"/>
  <c r="K510" i="23"/>
  <c r="L510" i="23"/>
  <c r="M510" i="23"/>
  <c r="E513" i="23"/>
  <c r="E514" i="23"/>
  <c r="E517" i="23"/>
  <c r="E518" i="23"/>
  <c r="E525" i="23"/>
  <c r="L525" i="23"/>
  <c r="E526" i="23"/>
  <c r="E527" i="23"/>
  <c r="E529" i="23"/>
  <c r="E530" i="23"/>
  <c r="J530" i="23"/>
  <c r="E531" i="23"/>
  <c r="E536" i="23"/>
  <c r="E537" i="23"/>
  <c r="L537" i="23"/>
  <c r="E541" i="23"/>
  <c r="E542" i="23"/>
  <c r="E543" i="23"/>
  <c r="J543" i="23"/>
  <c r="E35" i="23" l="1"/>
  <c r="E67" i="23" s="1"/>
  <c r="E282" i="23"/>
  <c r="E478" i="23"/>
  <c r="L437" i="23"/>
  <c r="I473" i="23"/>
  <c r="J472" i="23"/>
  <c r="G408" i="23"/>
  <c r="H537" i="23"/>
  <c r="I380" i="23"/>
  <c r="F380" i="23"/>
  <c r="I472" i="23"/>
  <c r="I514" i="23"/>
  <c r="G472" i="23"/>
  <c r="I460" i="23"/>
  <c r="I427" i="23"/>
  <c r="M530" i="23"/>
  <c r="F514" i="23"/>
  <c r="F427" i="23"/>
  <c r="F276" i="23"/>
  <c r="F200" i="23"/>
  <c r="I542" i="23"/>
  <c r="F513" i="23"/>
  <c r="I495" i="23"/>
  <c r="I199" i="23"/>
  <c r="I513" i="23"/>
  <c r="F456" i="23"/>
  <c r="G527" i="23"/>
  <c r="I413" i="23"/>
  <c r="G494" i="23"/>
  <c r="I455" i="23"/>
  <c r="F494" i="23"/>
  <c r="F455" i="23"/>
  <c r="I346" i="23"/>
  <c r="I32" i="23"/>
  <c r="I203" i="23" s="1"/>
  <c r="M384" i="23"/>
  <c r="J525" i="23"/>
  <c r="M413" i="23"/>
  <c r="E203" i="23"/>
  <c r="E110" i="23"/>
  <c r="H437" i="23"/>
  <c r="J350" i="23"/>
  <c r="F542" i="23"/>
  <c r="F529" i="23"/>
  <c r="F472" i="23"/>
  <c r="E461" i="23"/>
  <c r="M513" i="23"/>
  <c r="J384" i="23"/>
  <c r="K437" i="23"/>
  <c r="K536" i="23"/>
  <c r="I494" i="23"/>
  <c r="F460" i="23"/>
  <c r="J437" i="23"/>
  <c r="K373" i="23"/>
  <c r="E65" i="23"/>
  <c r="E132" i="23" s="1"/>
  <c r="L479" i="23"/>
  <c r="M537" i="23"/>
  <c r="I529" i="23"/>
  <c r="K479" i="23"/>
  <c r="F369" i="23"/>
  <c r="F277" i="23"/>
  <c r="E204" i="23"/>
  <c r="I412" i="23"/>
  <c r="K32" i="23"/>
  <c r="K65" i="23" s="1"/>
  <c r="K132" i="23" s="1"/>
  <c r="I456" i="23"/>
  <c r="I430" i="23"/>
  <c r="J361" i="23"/>
  <c r="I276" i="23"/>
  <c r="F32" i="23"/>
  <c r="F203" i="23" s="1"/>
  <c r="J211" i="23"/>
  <c r="J244" i="23" s="1"/>
  <c r="G32" i="23"/>
  <c r="G111" i="23" s="1"/>
  <c r="J408" i="23"/>
  <c r="E408" i="23"/>
  <c r="L473" i="23"/>
  <c r="L542" i="23"/>
  <c r="L513" i="23"/>
  <c r="G440" i="23"/>
  <c r="L494" i="23"/>
  <c r="M462" i="23"/>
  <c r="M479" i="23"/>
  <c r="M518" i="23"/>
  <c r="M498" i="23"/>
  <c r="K498" i="23"/>
  <c r="M283" i="23"/>
  <c r="L283" i="23"/>
  <c r="L462" i="23"/>
  <c r="K109" i="23"/>
  <c r="K108" i="23" s="1"/>
  <c r="K462" i="23"/>
  <c r="K518" i="23"/>
  <c r="L518" i="23"/>
  <c r="L498" i="23"/>
  <c r="L430" i="23"/>
  <c r="L413" i="23"/>
  <c r="G537" i="23"/>
  <c r="L380" i="23"/>
  <c r="F357" i="23"/>
  <c r="K283" i="23"/>
  <c r="K202" i="23"/>
  <c r="K201" i="23" s="1"/>
  <c r="M527" i="23"/>
  <c r="L455" i="23"/>
  <c r="F430" i="23"/>
  <c r="F413" i="23"/>
  <c r="I350" i="23"/>
  <c r="L495" i="23"/>
  <c r="F412" i="23"/>
  <c r="G526" i="23"/>
  <c r="F473" i="23"/>
  <c r="I373" i="23"/>
  <c r="L276" i="23"/>
  <c r="I459" i="23"/>
  <c r="J119" i="23"/>
  <c r="J154" i="23" s="1"/>
  <c r="K542" i="23"/>
  <c r="J427" i="23"/>
  <c r="I384" i="23"/>
  <c r="J369" i="23"/>
  <c r="H536" i="23"/>
  <c r="K380" i="23"/>
  <c r="E241" i="23"/>
  <c r="L541" i="23"/>
  <c r="K455" i="23"/>
  <c r="M431" i="23"/>
  <c r="K106" i="23"/>
  <c r="L527" i="23"/>
  <c r="K495" i="23"/>
  <c r="I117" i="23"/>
  <c r="I148" i="23" s="1"/>
  <c r="I408" i="23"/>
  <c r="L526" i="23"/>
  <c r="F537" i="23"/>
  <c r="F526" i="23"/>
  <c r="J513" i="23"/>
  <c r="L199" i="23"/>
  <c r="E244" i="23"/>
  <c r="K513" i="23"/>
  <c r="K413" i="23"/>
  <c r="K369" i="23"/>
  <c r="I96" i="23"/>
  <c r="I107" i="23" s="1"/>
  <c r="M100" i="23"/>
  <c r="M116" i="23" s="1"/>
  <c r="F423" i="23"/>
  <c r="K423" i="23"/>
  <c r="H423" i="23"/>
  <c r="K276" i="23"/>
  <c r="F350" i="23"/>
  <c r="K199" i="23"/>
  <c r="I100" i="23"/>
  <c r="I116" i="23" s="1"/>
  <c r="H527" i="23"/>
  <c r="M494" i="23"/>
  <c r="K473" i="23"/>
  <c r="F462" i="23"/>
  <c r="F459" i="23"/>
  <c r="H440" i="23"/>
  <c r="K430" i="23"/>
  <c r="J199" i="23"/>
  <c r="J85" i="23"/>
  <c r="F361" i="23"/>
  <c r="L346" i="23"/>
  <c r="F85" i="23"/>
  <c r="F527" i="23"/>
  <c r="M514" i="23"/>
  <c r="K494" i="23"/>
  <c r="M456" i="23"/>
  <c r="F440" i="23"/>
  <c r="F432" i="23"/>
  <c r="L412" i="23"/>
  <c r="K346" i="23"/>
  <c r="M529" i="23"/>
  <c r="L514" i="23"/>
  <c r="F498" i="23"/>
  <c r="M460" i="23"/>
  <c r="L456" i="23"/>
  <c r="K412" i="23"/>
  <c r="F373" i="23"/>
  <c r="M357" i="23"/>
  <c r="L277" i="23"/>
  <c r="M102" i="23"/>
  <c r="M118" i="23" s="1"/>
  <c r="L529" i="23"/>
  <c r="K514" i="23"/>
  <c r="M472" i="23"/>
  <c r="L460" i="23"/>
  <c r="K456" i="23"/>
  <c r="M427" i="23"/>
  <c r="L357" i="23"/>
  <c r="K277" i="23"/>
  <c r="M473" i="23"/>
  <c r="I527" i="23"/>
  <c r="K529" i="23"/>
  <c r="H526" i="23"/>
  <c r="L472" i="23"/>
  <c r="I431" i="23"/>
  <c r="M369" i="23"/>
  <c r="K357" i="23"/>
  <c r="M430" i="23"/>
  <c r="M542" i="23"/>
  <c r="I531" i="23"/>
  <c r="M495" i="23"/>
  <c r="M380" i="23"/>
  <c r="J357" i="23"/>
  <c r="H373" i="23"/>
  <c r="G536" i="23"/>
  <c r="J542" i="23"/>
  <c r="K537" i="23"/>
  <c r="J473" i="23"/>
  <c r="H462" i="23"/>
  <c r="K438" i="23"/>
  <c r="G432" i="23"/>
  <c r="J430" i="23"/>
  <c r="J380" i="23"/>
  <c r="J346" i="23"/>
  <c r="J276" i="23"/>
  <c r="H212" i="23"/>
  <c r="H247" i="23" s="1"/>
  <c r="H115" i="23"/>
  <c r="J106" i="23"/>
  <c r="J61" i="23"/>
  <c r="M98" i="23"/>
  <c r="M114" i="23" s="1"/>
  <c r="J529" i="23"/>
  <c r="J495" i="23"/>
  <c r="H479" i="23"/>
  <c r="M412" i="23"/>
  <c r="G369" i="23"/>
  <c r="I357" i="23"/>
  <c r="H211" i="23"/>
  <c r="H244" i="23" s="1"/>
  <c r="K113" i="23"/>
  <c r="J100" i="23"/>
  <c r="J116" i="23" s="1"/>
  <c r="J145" i="23" s="1"/>
  <c r="J455" i="23"/>
  <c r="K541" i="23"/>
  <c r="M536" i="23"/>
  <c r="M437" i="23"/>
  <c r="H119" i="23"/>
  <c r="H154" i="23" s="1"/>
  <c r="J98" i="23"/>
  <c r="J114" i="23" s="1"/>
  <c r="J139" i="23" s="1"/>
  <c r="H202" i="23"/>
  <c r="H201" i="23" s="1"/>
  <c r="I478" i="23"/>
  <c r="K440" i="23"/>
  <c r="J412" i="23"/>
  <c r="M361" i="23"/>
  <c r="J277" i="23"/>
  <c r="H206" i="23"/>
  <c r="G119" i="23"/>
  <c r="G154" i="23" s="1"/>
  <c r="J96" i="23"/>
  <c r="J107" i="23" s="1"/>
  <c r="H518" i="23"/>
  <c r="G525" i="23"/>
  <c r="H498" i="23"/>
  <c r="G373" i="23"/>
  <c r="M85" i="23"/>
  <c r="J456" i="23"/>
  <c r="J494" i="23"/>
  <c r="H283" i="23"/>
  <c r="I303" i="23"/>
  <c r="I193" i="23" s="1"/>
  <c r="I209" i="23" s="1"/>
  <c r="I307" i="23"/>
  <c r="I213" i="23" s="1"/>
  <c r="H303" i="23"/>
  <c r="H193" i="23" s="1"/>
  <c r="H209" i="23" s="1"/>
  <c r="H307" i="23"/>
  <c r="H213" i="23" s="1"/>
  <c r="I525" i="23"/>
  <c r="I536" i="23"/>
  <c r="K530" i="23"/>
  <c r="G412" i="23"/>
  <c r="M373" i="23"/>
  <c r="M346" i="23"/>
  <c r="M199" i="23"/>
  <c r="I122" i="23"/>
  <c r="I184" i="23" s="1"/>
  <c r="I310" i="23" s="1"/>
  <c r="I216" i="23" s="1"/>
  <c r="I98" i="23"/>
  <c r="I114" i="23" s="1"/>
  <c r="G542" i="23"/>
  <c r="J518" i="23"/>
  <c r="G455" i="23"/>
  <c r="M440" i="23"/>
  <c r="G430" i="23"/>
  <c r="G357" i="23"/>
  <c r="G276" i="23"/>
  <c r="H122" i="23"/>
  <c r="H184" i="23" s="1"/>
  <c r="H310" i="23" s="1"/>
  <c r="H216" i="23" s="1"/>
  <c r="I97" i="23"/>
  <c r="M99" i="23"/>
  <c r="M115" i="23" s="1"/>
  <c r="G513" i="23"/>
  <c r="J479" i="23"/>
  <c r="J462" i="23"/>
  <c r="G413" i="23"/>
  <c r="L97" i="23"/>
  <c r="G495" i="23"/>
  <c r="G473" i="23"/>
  <c r="G460" i="23"/>
  <c r="K361" i="23"/>
  <c r="G346" i="23"/>
  <c r="E238" i="23"/>
  <c r="G199" i="23"/>
  <c r="K97" i="23"/>
  <c r="E505" i="23"/>
  <c r="E504" i="23" s="1"/>
  <c r="J283" i="23"/>
  <c r="J117" i="23"/>
  <c r="J148" i="23" s="1"/>
  <c r="E111" i="23"/>
  <c r="J97" i="23"/>
  <c r="J498" i="23"/>
  <c r="G456" i="23"/>
  <c r="K350" i="23"/>
  <c r="G277" i="23"/>
  <c r="J202" i="23"/>
  <c r="J201" i="23" s="1"/>
  <c r="J212" i="23"/>
  <c r="J247" i="23" s="1"/>
  <c r="M526" i="23"/>
  <c r="G529" i="23"/>
  <c r="J115" i="23"/>
  <c r="G514" i="23"/>
  <c r="J109" i="23"/>
  <c r="J108" i="23" s="1"/>
  <c r="G498" i="23"/>
  <c r="G462" i="23"/>
  <c r="I438" i="23"/>
  <c r="F283" i="23"/>
  <c r="G116" i="23"/>
  <c r="F113" i="23"/>
  <c r="K101" i="23"/>
  <c r="K117" i="23" s="1"/>
  <c r="H108" i="23"/>
  <c r="G518" i="23"/>
  <c r="L417" i="23"/>
  <c r="F211" i="23"/>
  <c r="F244" i="23" s="1"/>
  <c r="G118" i="23"/>
  <c r="G151" i="23" s="1"/>
  <c r="F518" i="23"/>
  <c r="I440" i="23"/>
  <c r="L431" i="23"/>
  <c r="M423" i="23"/>
  <c r="G183" i="23"/>
  <c r="F118" i="23"/>
  <c r="F151" i="23" s="1"/>
  <c r="K431" i="23"/>
  <c r="L423" i="23"/>
  <c r="H361" i="23"/>
  <c r="K100" i="23"/>
  <c r="K116" i="23" s="1"/>
  <c r="G361" i="23"/>
  <c r="G206" i="23"/>
  <c r="L98" i="23"/>
  <c r="L114" i="23" s="1"/>
  <c r="K96" i="23"/>
  <c r="K107" i="23" s="1"/>
  <c r="J537" i="23"/>
  <c r="F206" i="23"/>
  <c r="G202" i="23"/>
  <c r="G201" i="23" s="1"/>
  <c r="J182" i="23"/>
  <c r="J310" i="23" s="1"/>
  <c r="J216" i="23" s="1"/>
  <c r="G114" i="23"/>
  <c r="G139" i="23" s="1"/>
  <c r="I537" i="23"/>
  <c r="H459" i="23"/>
  <c r="F202" i="23"/>
  <c r="F201" i="23" s="1"/>
  <c r="H117" i="23"/>
  <c r="H148" i="23" s="1"/>
  <c r="F114" i="23"/>
  <c r="M42" i="23"/>
  <c r="M109" i="23" s="1"/>
  <c r="M108" i="23" s="1"/>
  <c r="I61" i="23"/>
  <c r="G459" i="23"/>
  <c r="H384" i="23"/>
  <c r="F117" i="23"/>
  <c r="F148" i="23" s="1"/>
  <c r="G109" i="23"/>
  <c r="G108" i="23" s="1"/>
  <c r="K102" i="23"/>
  <c r="K118" i="23" s="1"/>
  <c r="M97" i="23"/>
  <c r="L42" i="23"/>
  <c r="L202" i="23" s="1"/>
  <c r="L201" i="23" s="1"/>
  <c r="H96" i="23"/>
  <c r="H107" i="23" s="1"/>
  <c r="G479" i="23"/>
  <c r="G384" i="23"/>
  <c r="F212" i="23"/>
  <c r="F247" i="23" s="1"/>
  <c r="G182" i="23"/>
  <c r="G325" i="23" s="1"/>
  <c r="G217" i="23" s="1"/>
  <c r="F109" i="23"/>
  <c r="F108" i="23" s="1"/>
  <c r="M101" i="23"/>
  <c r="M117" i="23" s="1"/>
  <c r="G99" i="23"/>
  <c r="G101" i="23" s="1"/>
  <c r="G117" i="23" s="1"/>
  <c r="G283" i="23"/>
  <c r="L101" i="23"/>
  <c r="L117" i="23" s="1"/>
  <c r="F61" i="23"/>
  <c r="F99" i="23"/>
  <c r="F115" i="23" s="1"/>
  <c r="F142" i="23" s="1"/>
  <c r="F536" i="23"/>
  <c r="L530" i="23"/>
  <c r="I518" i="23"/>
  <c r="H514" i="23"/>
  <c r="H472" i="23"/>
  <c r="H430" i="23"/>
  <c r="H276" i="23"/>
  <c r="H98" i="23"/>
  <c r="H114" i="23" s="1"/>
  <c r="L85" i="23"/>
  <c r="G200" i="23"/>
  <c r="H529" i="23"/>
  <c r="H455" i="23"/>
  <c r="M61" i="23"/>
  <c r="J541" i="23"/>
  <c r="J438" i="23"/>
  <c r="L373" i="23"/>
  <c r="L350" i="23"/>
  <c r="I212" i="23"/>
  <c r="I247" i="23" s="1"/>
  <c r="H85" i="23"/>
  <c r="L61" i="23"/>
  <c r="H473" i="23"/>
  <c r="L459" i="23"/>
  <c r="F437" i="23"/>
  <c r="H369" i="23"/>
  <c r="H346" i="23"/>
  <c r="H277" i="23"/>
  <c r="E205" i="23"/>
  <c r="I498" i="23"/>
  <c r="H456" i="23"/>
  <c r="H412" i="23"/>
  <c r="I283" i="23"/>
  <c r="H106" i="23"/>
  <c r="M32" i="23"/>
  <c r="M35" i="23" s="1"/>
  <c r="H494" i="23"/>
  <c r="I462" i="23"/>
  <c r="J440" i="23"/>
  <c r="I113" i="23"/>
  <c r="F110" i="23"/>
  <c r="G106" i="23"/>
  <c r="H100" i="23"/>
  <c r="H116" i="23" s="1"/>
  <c r="H97" i="23"/>
  <c r="G61" i="23"/>
  <c r="F116" i="23"/>
  <c r="H113" i="23"/>
  <c r="F106" i="23"/>
  <c r="K99" i="23"/>
  <c r="K115" i="23" s="1"/>
  <c r="M96" i="23"/>
  <c r="M107" i="23" s="1"/>
  <c r="H32" i="23"/>
  <c r="H110" i="23" s="1"/>
  <c r="H542" i="23"/>
  <c r="H413" i="23"/>
  <c r="L96" i="23"/>
  <c r="L107" i="23" s="1"/>
  <c r="L99" i="23"/>
  <c r="L115" i="23" s="1"/>
  <c r="H495" i="23"/>
  <c r="L384" i="23"/>
  <c r="H513" i="23"/>
  <c r="H380" i="23"/>
  <c r="H357" i="23"/>
  <c r="I211" i="23"/>
  <c r="I244" i="23" s="1"/>
  <c r="H199" i="23"/>
  <c r="E247" i="23"/>
  <c r="E458" i="23"/>
  <c r="E457" i="23" s="1"/>
  <c r="E454" i="23" s="1"/>
  <c r="E336" i="23" s="1"/>
  <c r="E221" i="23"/>
  <c r="I118" i="23"/>
  <c r="I42" i="23"/>
  <c r="I109" i="23" s="1"/>
  <c r="I108" i="23" s="1"/>
  <c r="I115" i="23"/>
  <c r="I119" i="23"/>
  <c r="K61" i="23"/>
  <c r="K85" i="23"/>
  <c r="G85" i="23"/>
  <c r="G107" i="23"/>
  <c r="I206" i="23"/>
  <c r="G33" i="23"/>
  <c r="H33" i="23"/>
  <c r="I33" i="23"/>
  <c r="E112" i="23"/>
  <c r="J33" i="23"/>
  <c r="K33" i="23"/>
  <c r="L33" i="23"/>
  <c r="E84" i="23"/>
  <c r="M33" i="23"/>
  <c r="F33" i="23"/>
  <c r="E86" i="23"/>
  <c r="E128" i="23"/>
  <c r="K119" i="23"/>
  <c r="H118" i="23"/>
  <c r="L100" i="23"/>
  <c r="L116" i="23" s="1"/>
  <c r="K98" i="23"/>
  <c r="K114" i="23" s="1"/>
  <c r="E68" i="23"/>
  <c r="E64" i="23"/>
  <c r="H61" i="23"/>
  <c r="L32" i="23"/>
  <c r="F119" i="23"/>
  <c r="F107" i="23"/>
  <c r="L102" i="23"/>
  <c r="L118" i="23" s="1"/>
  <c r="I85" i="23"/>
  <c r="J32" i="23"/>
  <c r="E80" i="23"/>
  <c r="E62" i="23"/>
  <c r="E497" i="23" l="1"/>
  <c r="E496" i="23" s="1"/>
  <c r="E493" i="23" s="1"/>
  <c r="E490" i="23" s="1"/>
  <c r="E489" i="23" s="1"/>
  <c r="E488" i="23" s="1"/>
  <c r="E486" i="23" s="1"/>
  <c r="E15" i="23" s="1"/>
  <c r="E120" i="23"/>
  <c r="E140" i="23" s="1"/>
  <c r="E516" i="23"/>
  <c r="E515" i="23" s="1"/>
  <c r="E512" i="23" s="1"/>
  <c r="E509" i="23" s="1"/>
  <c r="E508" i="23" s="1"/>
  <c r="E507" i="23" s="1"/>
  <c r="E502" i="23" s="1"/>
  <c r="I111" i="23"/>
  <c r="I64" i="23"/>
  <c r="I110" i="23"/>
  <c r="I65" i="23"/>
  <c r="I132" i="23" s="1"/>
  <c r="E224" i="23"/>
  <c r="I505" i="23"/>
  <c r="I504" i="23" s="1"/>
  <c r="F65" i="23"/>
  <c r="F132" i="23" s="1"/>
  <c r="F221" i="23"/>
  <c r="K225" i="23"/>
  <c r="F111" i="23"/>
  <c r="F282" i="23"/>
  <c r="K110" i="23"/>
  <c r="F461" i="23"/>
  <c r="F458" i="23" s="1"/>
  <c r="F457" i="23" s="1"/>
  <c r="F454" i="23" s="1"/>
  <c r="F336" i="23" s="1"/>
  <c r="F11" i="23" s="1"/>
  <c r="I35" i="23"/>
  <c r="I68" i="23" s="1"/>
  <c r="I282" i="23"/>
  <c r="I461" i="23"/>
  <c r="I458" i="23" s="1"/>
  <c r="I457" i="23" s="1"/>
  <c r="I454" i="23" s="1"/>
  <c r="I336" i="23" s="1"/>
  <c r="I432" i="23"/>
  <c r="M505" i="23"/>
  <c r="M504" i="23" s="1"/>
  <c r="K461" i="23"/>
  <c r="K458" i="23" s="1"/>
  <c r="K457" i="23" s="1"/>
  <c r="K454" i="23" s="1"/>
  <c r="K111" i="23"/>
  <c r="F35" i="23"/>
  <c r="F68" i="23" s="1"/>
  <c r="F204" i="23"/>
  <c r="E146" i="23"/>
  <c r="E149" i="23"/>
  <c r="F478" i="23"/>
  <c r="E225" i="23"/>
  <c r="K282" i="23"/>
  <c r="G203" i="23"/>
  <c r="K478" i="23"/>
  <c r="G35" i="23"/>
  <c r="G68" i="23" s="1"/>
  <c r="K35" i="23"/>
  <c r="K62" i="23" s="1"/>
  <c r="K129" i="23" s="1"/>
  <c r="G461" i="23"/>
  <c r="G458" i="23" s="1"/>
  <c r="G457" i="23" s="1"/>
  <c r="G454" i="23" s="1"/>
  <c r="G336" i="23" s="1"/>
  <c r="G11" i="23" s="1"/>
  <c r="K203" i="23"/>
  <c r="G478" i="23"/>
  <c r="E139" i="23"/>
  <c r="E134" i="23" s="1"/>
  <c r="G204" i="23"/>
  <c r="L505" i="23"/>
  <c r="L504" i="23" s="1"/>
  <c r="G282" i="23"/>
  <c r="G65" i="23"/>
  <c r="G132" i="23" s="1"/>
  <c r="G110" i="23"/>
  <c r="J505" i="23"/>
  <c r="J504" i="23" s="1"/>
  <c r="K505" i="23"/>
  <c r="K504" i="23" s="1"/>
  <c r="H505" i="23"/>
  <c r="H504" i="23" s="1"/>
  <c r="H65" i="23"/>
  <c r="H132" i="23" s="1"/>
  <c r="H145" i="23"/>
  <c r="I308" i="23"/>
  <c r="I214" i="23" s="1"/>
  <c r="F128" i="23"/>
  <c r="H308" i="23"/>
  <c r="H214" i="23" s="1"/>
  <c r="J128" i="23"/>
  <c r="G221" i="23"/>
  <c r="G115" i="23"/>
  <c r="G142" i="23" s="1"/>
  <c r="G505" i="23"/>
  <c r="G504" i="23" s="1"/>
  <c r="G326" i="23"/>
  <c r="G218" i="23" s="1"/>
  <c r="G323" i="23"/>
  <c r="G215" i="23" s="1"/>
  <c r="M128" i="23"/>
  <c r="F505" i="23"/>
  <c r="F504" i="23" s="1"/>
  <c r="G320" i="23"/>
  <c r="G196" i="23" s="1"/>
  <c r="G212" i="23" s="1"/>
  <c r="H128" i="23"/>
  <c r="G318" i="23"/>
  <c r="G194" i="23" s="1"/>
  <c r="G210" i="23" s="1"/>
  <c r="G321" i="23"/>
  <c r="G213" i="23" s="1"/>
  <c r="G316" i="23"/>
  <c r="G192" i="23" s="1"/>
  <c r="G208" i="23" s="1"/>
  <c r="H461" i="23"/>
  <c r="H458" i="23" s="1"/>
  <c r="H457" i="23" s="1"/>
  <c r="H454" i="23" s="1"/>
  <c r="H451" i="23" s="1"/>
  <c r="H450" i="23" s="1"/>
  <c r="H368" i="23" s="1"/>
  <c r="M202" i="23"/>
  <c r="M201" i="23" s="1"/>
  <c r="H35" i="23"/>
  <c r="H62" i="23" s="1"/>
  <c r="G128" i="23"/>
  <c r="H478" i="23"/>
  <c r="J307" i="23"/>
  <c r="J303" i="23"/>
  <c r="J193" i="23" s="1"/>
  <c r="J209" i="23" s="1"/>
  <c r="H432" i="23"/>
  <c r="L109" i="23"/>
  <c r="L108" i="23" s="1"/>
  <c r="L128" i="23" s="1"/>
  <c r="M497" i="23"/>
  <c r="M284" i="23"/>
  <c r="M67" i="23"/>
  <c r="M124" i="23"/>
  <c r="M120" i="23"/>
  <c r="M140" i="23" s="1"/>
  <c r="M516" i="23"/>
  <c r="M515" i="23" s="1"/>
  <c r="M512" i="23" s="1"/>
  <c r="M509" i="23" s="1"/>
  <c r="M508" i="23" s="1"/>
  <c r="M507" i="23" s="1"/>
  <c r="M68" i="23"/>
  <c r="H111" i="23"/>
  <c r="H203" i="23"/>
  <c r="M123" i="23"/>
  <c r="M185" i="23" s="1"/>
  <c r="M121" i="23"/>
  <c r="M142" i="23" s="1"/>
  <c r="H282" i="23"/>
  <c r="M44" i="23"/>
  <c r="M111" i="23"/>
  <c r="M461" i="23"/>
  <c r="M458" i="23" s="1"/>
  <c r="M457" i="23" s="1"/>
  <c r="M454" i="23" s="1"/>
  <c r="M282" i="23"/>
  <c r="M65" i="23"/>
  <c r="M203" i="23"/>
  <c r="M478" i="23"/>
  <c r="M110" i="23"/>
  <c r="M122" i="23"/>
  <c r="M184" i="23" s="1"/>
  <c r="G64" i="23"/>
  <c r="M62" i="23"/>
  <c r="M129" i="23" s="1"/>
  <c r="I128" i="23"/>
  <c r="F64" i="23"/>
  <c r="F86" i="23"/>
  <c r="F205" i="23"/>
  <c r="F112" i="23"/>
  <c r="M43" i="23"/>
  <c r="M80" i="23"/>
  <c r="M84" i="23"/>
  <c r="M64" i="23"/>
  <c r="M86" i="23"/>
  <c r="G148" i="23"/>
  <c r="F154" i="23"/>
  <c r="E442" i="23"/>
  <c r="E545" i="23"/>
  <c r="E129" i="23"/>
  <c r="E222" i="23"/>
  <c r="H151" i="23"/>
  <c r="I154" i="23"/>
  <c r="G516" i="23"/>
  <c r="H139" i="23"/>
  <c r="E11" i="23"/>
  <c r="E335" i="23"/>
  <c r="J65" i="23"/>
  <c r="J110" i="23"/>
  <c r="J64" i="23"/>
  <c r="J35" i="23"/>
  <c r="J62" i="23" s="1"/>
  <c r="J111" i="23"/>
  <c r="J203" i="23"/>
  <c r="J478" i="23"/>
  <c r="J282" i="23"/>
  <c r="J461" i="23"/>
  <c r="J458" i="23" s="1"/>
  <c r="J457" i="23" s="1"/>
  <c r="J454" i="23" s="1"/>
  <c r="E73" i="23"/>
  <c r="E72" i="23"/>
  <c r="E433" i="23" s="1"/>
  <c r="E429" i="23" s="1"/>
  <c r="E428" i="23" s="1"/>
  <c r="E426" i="23" s="1"/>
  <c r="E403" i="23" s="1"/>
  <c r="K86" i="23"/>
  <c r="K112" i="23"/>
  <c r="K205" i="23"/>
  <c r="K64" i="23"/>
  <c r="J86" i="23"/>
  <c r="J43" i="23"/>
  <c r="J432" i="23"/>
  <c r="I145" i="23"/>
  <c r="K154" i="23"/>
  <c r="L43" i="23"/>
  <c r="L86" i="23"/>
  <c r="E82" i="23"/>
  <c r="E83" i="23" s="1"/>
  <c r="E131" i="23"/>
  <c r="I202" i="23"/>
  <c r="I201" i="23" s="1"/>
  <c r="K128" i="23"/>
  <c r="E451" i="23"/>
  <c r="E450" i="23" s="1"/>
  <c r="E441" i="23"/>
  <c r="E544" i="23"/>
  <c r="I86" i="23"/>
  <c r="I112" i="23"/>
  <c r="I205" i="23"/>
  <c r="I151" i="23"/>
  <c r="H86" i="23"/>
  <c r="H112" i="23"/>
  <c r="H205" i="23"/>
  <c r="I139" i="23"/>
  <c r="L111" i="23"/>
  <c r="L65" i="23"/>
  <c r="L64" i="23"/>
  <c r="L110" i="23"/>
  <c r="L35" i="23"/>
  <c r="L203" i="23"/>
  <c r="L282" i="23"/>
  <c r="L478" i="23"/>
  <c r="L461" i="23"/>
  <c r="L458" i="23" s="1"/>
  <c r="L457" i="23" s="1"/>
  <c r="L454" i="23" s="1"/>
  <c r="H64" i="23"/>
  <c r="G86" i="23"/>
  <c r="G205" i="23"/>
  <c r="G112" i="23"/>
  <c r="E143" i="23" l="1"/>
  <c r="E135" i="23" s="1"/>
  <c r="E160" i="23" s="1"/>
  <c r="I84" i="23"/>
  <c r="E503" i="23"/>
  <c r="E155" i="23"/>
  <c r="I121" i="23"/>
  <c r="I183" i="23" s="1"/>
  <c r="I309" i="23" s="1"/>
  <c r="I215" i="23" s="1"/>
  <c r="I245" i="23" s="1"/>
  <c r="E152" i="23"/>
  <c r="I80" i="23"/>
  <c r="I544" i="23" s="1"/>
  <c r="E182" i="23"/>
  <c r="I225" i="23"/>
  <c r="I497" i="23"/>
  <c r="I496" i="23" s="1"/>
  <c r="I493" i="23" s="1"/>
  <c r="I490" i="23" s="1"/>
  <c r="I489" i="23" s="1"/>
  <c r="I488" i="23" s="1"/>
  <c r="I486" i="23" s="1"/>
  <c r="I15" i="23" s="1"/>
  <c r="I140" i="23"/>
  <c r="F225" i="23"/>
  <c r="F62" i="23"/>
  <c r="F222" i="23" s="1"/>
  <c r="F497" i="23"/>
  <c r="F496" i="23" s="1"/>
  <c r="F493" i="23" s="1"/>
  <c r="F490" i="23" s="1"/>
  <c r="F489" i="23" s="1"/>
  <c r="F488" i="23" s="1"/>
  <c r="F486" i="23" s="1"/>
  <c r="F15" i="23" s="1"/>
  <c r="I516" i="23"/>
  <c r="I515" i="23" s="1"/>
  <c r="I512" i="23" s="1"/>
  <c r="I509" i="23" s="1"/>
  <c r="I508" i="23" s="1"/>
  <c r="I507" i="23" s="1"/>
  <c r="I502" i="23" s="1"/>
  <c r="I16" i="23" s="1"/>
  <c r="I233" i="23"/>
  <c r="F516" i="23"/>
  <c r="F515" i="23" s="1"/>
  <c r="F512" i="23" s="1"/>
  <c r="F509" i="23" s="1"/>
  <c r="F508" i="23" s="1"/>
  <c r="F507" i="23" s="1"/>
  <c r="F502" i="23" s="1"/>
  <c r="F16" i="23" s="1"/>
  <c r="G67" i="23"/>
  <c r="G72" i="23" s="1"/>
  <c r="F67" i="23"/>
  <c r="F72" i="23" s="1"/>
  <c r="F433" i="23" s="1"/>
  <c r="F429" i="23" s="1"/>
  <c r="F428" i="23" s="1"/>
  <c r="F426" i="23" s="1"/>
  <c r="F403" i="23" s="1"/>
  <c r="F284" i="23"/>
  <c r="F280" i="23" s="1"/>
  <c r="F84" i="23"/>
  <c r="F442" i="23" s="1"/>
  <c r="F80" i="23"/>
  <c r="F441" i="23" s="1"/>
  <c r="F120" i="23"/>
  <c r="F140" i="23" s="1"/>
  <c r="K124" i="23"/>
  <c r="K186" i="23" s="1"/>
  <c r="I284" i="23"/>
  <c r="I280" i="23" s="1"/>
  <c r="G497" i="23"/>
  <c r="G496" i="23" s="1"/>
  <c r="G493" i="23" s="1"/>
  <c r="G490" i="23" s="1"/>
  <c r="G489" i="23" s="1"/>
  <c r="G488" i="23" s="1"/>
  <c r="G486" i="23" s="1"/>
  <c r="G15" i="23" s="1"/>
  <c r="G80" i="23"/>
  <c r="G441" i="23" s="1"/>
  <c r="I67" i="23"/>
  <c r="I82" i="23"/>
  <c r="I236" i="23"/>
  <c r="I62" i="23"/>
  <c r="I129" i="23" s="1"/>
  <c r="G233" i="23"/>
  <c r="G62" i="23"/>
  <c r="G284" i="23"/>
  <c r="G280" i="23" s="1"/>
  <c r="K44" i="23"/>
  <c r="K432" i="23" s="1"/>
  <c r="M502" i="23"/>
  <c r="M16" i="23" s="1"/>
  <c r="K284" i="23"/>
  <c r="K281" i="23" s="1"/>
  <c r="K279" i="23" s="1"/>
  <c r="K278" i="23" s="1"/>
  <c r="K275" i="23" s="1"/>
  <c r="K272" i="23" s="1"/>
  <c r="K271" i="23" s="1"/>
  <c r="K268" i="23" s="1"/>
  <c r="K516" i="23"/>
  <c r="K515" i="23" s="1"/>
  <c r="K512" i="23" s="1"/>
  <c r="K509" i="23" s="1"/>
  <c r="K508" i="23" s="1"/>
  <c r="K507" i="23" s="1"/>
  <c r="K502" i="23" s="1"/>
  <c r="K16" i="23" s="1"/>
  <c r="K80" i="23"/>
  <c r="K544" i="23" s="1"/>
  <c r="K67" i="23"/>
  <c r="K72" i="23" s="1"/>
  <c r="G225" i="23"/>
  <c r="K497" i="23"/>
  <c r="K496" i="23" s="1"/>
  <c r="K493" i="23" s="1"/>
  <c r="K490" i="23" s="1"/>
  <c r="K489" i="23" s="1"/>
  <c r="K488" i="23" s="1"/>
  <c r="K486" i="23" s="1"/>
  <c r="K15" i="23" s="1"/>
  <c r="K84" i="23"/>
  <c r="K442" i="23" s="1"/>
  <c r="K121" i="23"/>
  <c r="K142" i="23" s="1"/>
  <c r="G143" i="23"/>
  <c r="K122" i="23"/>
  <c r="K184" i="23" s="1"/>
  <c r="G140" i="23"/>
  <c r="K120" i="23"/>
  <c r="K139" i="23" s="1"/>
  <c r="K82" i="23"/>
  <c r="K83" i="23" s="1"/>
  <c r="G122" i="23"/>
  <c r="G155" i="23" s="1"/>
  <c r="K123" i="23"/>
  <c r="G84" i="23"/>
  <c r="G545" i="23" s="1"/>
  <c r="K222" i="23"/>
  <c r="K68" i="23"/>
  <c r="G82" i="23"/>
  <c r="M222" i="23"/>
  <c r="G451" i="23"/>
  <c r="G450" i="23" s="1"/>
  <c r="G368" i="23" s="1"/>
  <c r="F335" i="23"/>
  <c r="F9" i="23" s="1"/>
  <c r="F451" i="23"/>
  <c r="F450" i="23" s="1"/>
  <c r="F368" i="23" s="1"/>
  <c r="G335" i="23"/>
  <c r="G9" i="23" s="1"/>
  <c r="E501" i="23"/>
  <c r="F122" i="23"/>
  <c r="F149" i="23" s="1"/>
  <c r="H82" i="23"/>
  <c r="H83" i="23" s="1"/>
  <c r="H84" i="23"/>
  <c r="H442" i="23" s="1"/>
  <c r="H497" i="23"/>
  <c r="H496" i="23" s="1"/>
  <c r="H493" i="23" s="1"/>
  <c r="H490" i="23" s="1"/>
  <c r="H489" i="23" s="1"/>
  <c r="H488" i="23" s="1"/>
  <c r="H486" i="23" s="1"/>
  <c r="H15" i="23" s="1"/>
  <c r="H225" i="23"/>
  <c r="K336" i="23"/>
  <c r="K11" i="23" s="1"/>
  <c r="K451" i="23"/>
  <c r="K450" i="23" s="1"/>
  <c r="K449" i="23" s="1"/>
  <c r="K414" i="23" s="1"/>
  <c r="I451" i="23"/>
  <c r="I450" i="23" s="1"/>
  <c r="I368" i="23" s="1"/>
  <c r="E16" i="23"/>
  <c r="H233" i="23"/>
  <c r="H284" i="23"/>
  <c r="H280" i="23" s="1"/>
  <c r="H80" i="23"/>
  <c r="H441" i="23" s="1"/>
  <c r="M145" i="23"/>
  <c r="M148" i="23"/>
  <c r="G247" i="23"/>
  <c r="J80" i="23"/>
  <c r="J544" i="23" s="1"/>
  <c r="G322" i="23"/>
  <c r="G214" i="23" s="1"/>
  <c r="G239" i="23" s="1"/>
  <c r="H140" i="23"/>
  <c r="J84" i="23"/>
  <c r="J545" i="23" s="1"/>
  <c r="H516" i="23"/>
  <c r="H515" i="23" s="1"/>
  <c r="H512" i="23" s="1"/>
  <c r="H509" i="23" s="1"/>
  <c r="H508" i="23" s="1"/>
  <c r="H507" i="23" s="1"/>
  <c r="H502" i="23" s="1"/>
  <c r="H16" i="23" s="1"/>
  <c r="H336" i="23"/>
  <c r="H11" i="23" s="1"/>
  <c r="H222" i="23"/>
  <c r="H129" i="23"/>
  <c r="I149" i="23"/>
  <c r="H449" i="23"/>
  <c r="H414" i="23" s="1"/>
  <c r="H67" i="23"/>
  <c r="H72" i="23" s="1"/>
  <c r="H121" i="23"/>
  <c r="H236" i="23"/>
  <c r="H68" i="23"/>
  <c r="M146" i="23"/>
  <c r="M155" i="23"/>
  <c r="M432" i="23"/>
  <c r="M183" i="23"/>
  <c r="I222" i="23"/>
  <c r="M152" i="23"/>
  <c r="M143" i="23"/>
  <c r="J308" i="23"/>
  <c r="J214" i="23" s="1"/>
  <c r="J213" i="23"/>
  <c r="J233" i="23" s="1"/>
  <c r="M149" i="23"/>
  <c r="E81" i="23"/>
  <c r="E528" i="23" s="1"/>
  <c r="E524" i="23" s="1"/>
  <c r="M225" i="23"/>
  <c r="M132" i="23"/>
  <c r="M503" i="23"/>
  <c r="M182" i="23"/>
  <c r="M325" i="23" s="1"/>
  <c r="M217" i="23" s="1"/>
  <c r="M139" i="23"/>
  <c r="M186" i="23"/>
  <c r="M151" i="23"/>
  <c r="M336" i="23"/>
  <c r="M451" i="23"/>
  <c r="M450" i="23" s="1"/>
  <c r="M280" i="23"/>
  <c r="M281" i="23"/>
  <c r="M279" i="23" s="1"/>
  <c r="M278" i="23" s="1"/>
  <c r="M275" i="23" s="1"/>
  <c r="M272" i="23" s="1"/>
  <c r="M271" i="23" s="1"/>
  <c r="M268" i="23" s="1"/>
  <c r="M496" i="23"/>
  <c r="M493" i="23" s="1"/>
  <c r="M490" i="23" s="1"/>
  <c r="M489" i="23" s="1"/>
  <c r="M488" i="23" s="1"/>
  <c r="M486" i="23" s="1"/>
  <c r="M15" i="23" s="1"/>
  <c r="J129" i="23"/>
  <c r="J222" i="23"/>
  <c r="L84" i="23"/>
  <c r="L336" i="23"/>
  <c r="L451" i="23"/>
  <c r="L450" i="23" s="1"/>
  <c r="L68" i="23"/>
  <c r="I131" i="23"/>
  <c r="J113" i="23"/>
  <c r="J112" i="23" s="1"/>
  <c r="J206" i="23"/>
  <c r="J205" i="23" s="1"/>
  <c r="M113" i="23"/>
  <c r="M112" i="23" s="1"/>
  <c r="M206" i="23"/>
  <c r="M205" i="23" s="1"/>
  <c r="L206" i="23"/>
  <c r="L205" i="23" s="1"/>
  <c r="L113" i="23"/>
  <c r="L112" i="23" s="1"/>
  <c r="K131" i="23"/>
  <c r="E9" i="23"/>
  <c r="I11" i="23"/>
  <c r="I335" i="23"/>
  <c r="L132" i="23"/>
  <c r="L225" i="23"/>
  <c r="L82" i="23"/>
  <c r="G131" i="23"/>
  <c r="F131" i="23"/>
  <c r="L80" i="23"/>
  <c r="E159" i="23"/>
  <c r="E167" i="23"/>
  <c r="I146" i="23"/>
  <c r="L62" i="23"/>
  <c r="H131" i="23"/>
  <c r="E449" i="23"/>
  <c r="E414" i="23" s="1"/>
  <c r="E368" i="23"/>
  <c r="I155" i="23"/>
  <c r="J82" i="23"/>
  <c r="J83" i="23" s="1"/>
  <c r="F224" i="23"/>
  <c r="J67" i="23"/>
  <c r="J72" i="23" s="1"/>
  <c r="J433" i="23" s="1"/>
  <c r="J429" i="23" s="1"/>
  <c r="J428" i="23" s="1"/>
  <c r="J426" i="23" s="1"/>
  <c r="J403" i="23" s="1"/>
  <c r="J140" i="23"/>
  <c r="J121" i="23"/>
  <c r="J149" i="23" s="1"/>
  <c r="J284" i="23"/>
  <c r="J497" i="23"/>
  <c r="J516" i="23"/>
  <c r="G224" i="23"/>
  <c r="I143" i="23"/>
  <c r="E74" i="23"/>
  <c r="G515" i="23"/>
  <c r="G512" i="23" s="1"/>
  <c r="G509" i="23" s="1"/>
  <c r="G508" i="23" s="1"/>
  <c r="G507" i="23" s="1"/>
  <c r="G502" i="23" s="1"/>
  <c r="G503" i="23"/>
  <c r="J68" i="23"/>
  <c r="J336" i="23"/>
  <c r="J451" i="23"/>
  <c r="J450" i="23" s="1"/>
  <c r="J132" i="23"/>
  <c r="J225" i="23"/>
  <c r="I142" i="23"/>
  <c r="M72" i="23"/>
  <c r="M433" i="23" s="1"/>
  <c r="M73" i="23"/>
  <c r="M82" i="23"/>
  <c r="M83" i="23" s="1"/>
  <c r="F82" i="23"/>
  <c r="M545" i="23"/>
  <c r="M442" i="23"/>
  <c r="L122" i="23"/>
  <c r="L44" i="23"/>
  <c r="L432" i="23" s="1"/>
  <c r="L121" i="23"/>
  <c r="L123" i="23"/>
  <c r="L67" i="23"/>
  <c r="L72" i="23" s="1"/>
  <c r="L433" i="23" s="1"/>
  <c r="L120" i="23"/>
  <c r="L140" i="23" s="1"/>
  <c r="L124" i="23"/>
  <c r="L284" i="23"/>
  <c r="L497" i="23"/>
  <c r="L516" i="23"/>
  <c r="I442" i="23"/>
  <c r="I545" i="23"/>
  <c r="M544" i="23"/>
  <c r="M441" i="23"/>
  <c r="I248" i="23" l="1"/>
  <c r="I503" i="23"/>
  <c r="I501" i="23" s="1"/>
  <c r="I239" i="23"/>
  <c r="I238" i="23"/>
  <c r="I441" i="23"/>
  <c r="I152" i="23"/>
  <c r="I242" i="23"/>
  <c r="G152" i="23"/>
  <c r="G73" i="23"/>
  <c r="G74" i="23" s="1"/>
  <c r="G75" i="23" s="1"/>
  <c r="I281" i="23"/>
  <c r="I279" i="23" s="1"/>
  <c r="I278" i="23" s="1"/>
  <c r="I275" i="23" s="1"/>
  <c r="I272" i="23" s="1"/>
  <c r="I271" i="23" s="1"/>
  <c r="I268" i="23" s="1"/>
  <c r="F73" i="23"/>
  <c r="F74" i="23" s="1"/>
  <c r="F143" i="23"/>
  <c r="F544" i="23"/>
  <c r="F83" i="23"/>
  <c r="I73" i="23"/>
  <c r="I74" i="23" s="1"/>
  <c r="I69" i="23" s="1"/>
  <c r="F281" i="23"/>
  <c r="F279" i="23" s="1"/>
  <c r="F278" i="23" s="1"/>
  <c r="F275" i="23" s="1"/>
  <c r="F272" i="23" s="1"/>
  <c r="F271" i="23" s="1"/>
  <c r="F268" i="23" s="1"/>
  <c r="K183" i="23"/>
  <c r="F139" i="23"/>
  <c r="F503" i="23"/>
  <c r="F501" i="23" s="1"/>
  <c r="K151" i="23"/>
  <c r="G149" i="23"/>
  <c r="G146" i="23"/>
  <c r="F184" i="23"/>
  <c r="F182" i="23"/>
  <c r="F309" i="23" s="1"/>
  <c r="F215" i="23" s="1"/>
  <c r="F129" i="23"/>
  <c r="G184" i="23"/>
  <c r="G324" i="23" s="1"/>
  <c r="G216" i="23" s="1"/>
  <c r="G242" i="23" s="1"/>
  <c r="I83" i="23"/>
  <c r="G544" i="23"/>
  <c r="F545" i="23"/>
  <c r="I72" i="23"/>
  <c r="I433" i="23" s="1"/>
  <c r="I429" i="23" s="1"/>
  <c r="I428" i="23" s="1"/>
  <c r="I426" i="23" s="1"/>
  <c r="I403" i="23" s="1"/>
  <c r="K182" i="23"/>
  <c r="K324" i="23" s="1"/>
  <c r="K216" i="23" s="1"/>
  <c r="G222" i="23"/>
  <c r="K280" i="23"/>
  <c r="G129" i="23"/>
  <c r="F145" i="23"/>
  <c r="K503" i="23"/>
  <c r="K501" i="23" s="1"/>
  <c r="G281" i="23"/>
  <c r="G279" i="23" s="1"/>
  <c r="G278" i="23" s="1"/>
  <c r="G275" i="23" s="1"/>
  <c r="G272" i="23" s="1"/>
  <c r="G271" i="23" s="1"/>
  <c r="G268" i="23" s="1"/>
  <c r="G315" i="23" s="1"/>
  <c r="G191" i="23" s="1"/>
  <c r="G207" i="23" s="1"/>
  <c r="G232" i="23" s="1"/>
  <c r="K441" i="23"/>
  <c r="K145" i="23"/>
  <c r="K545" i="23"/>
  <c r="M501" i="23"/>
  <c r="G83" i="23"/>
  <c r="G145" i="23"/>
  <c r="G134" i="23" s="1"/>
  <c r="G159" i="23" s="1"/>
  <c r="K73" i="23"/>
  <c r="K74" i="23" s="1"/>
  <c r="K63" i="23" s="1"/>
  <c r="G236" i="23"/>
  <c r="K155" i="23"/>
  <c r="K149" i="23"/>
  <c r="H545" i="23"/>
  <c r="K146" i="23"/>
  <c r="G442" i="23"/>
  <c r="K140" i="23"/>
  <c r="K185" i="23"/>
  <c r="K152" i="23"/>
  <c r="K148" i="23"/>
  <c r="K143" i="23"/>
  <c r="F146" i="23"/>
  <c r="G449" i="23"/>
  <c r="G414" i="23" s="1"/>
  <c r="F449" i="23"/>
  <c r="F414" i="23" s="1"/>
  <c r="H281" i="23"/>
  <c r="H279" i="23" s="1"/>
  <c r="H278" i="23" s="1"/>
  <c r="H275" i="23" s="1"/>
  <c r="H272" i="23" s="1"/>
  <c r="H271" i="23" s="1"/>
  <c r="H268" i="23" s="1"/>
  <c r="F155" i="23"/>
  <c r="F152" i="23"/>
  <c r="I449" i="23"/>
  <c r="I414" i="23" s="1"/>
  <c r="H544" i="23"/>
  <c r="K335" i="23"/>
  <c r="K9" i="23" s="1"/>
  <c r="H73" i="23"/>
  <c r="H74" i="23" s="1"/>
  <c r="K368" i="23"/>
  <c r="H335" i="23"/>
  <c r="H9" i="23" s="1"/>
  <c r="J441" i="23"/>
  <c r="H503" i="23"/>
  <c r="H501" i="23" s="1"/>
  <c r="M81" i="23"/>
  <c r="M528" i="23" s="1"/>
  <c r="M524" i="23" s="1"/>
  <c r="G235" i="23"/>
  <c r="J442" i="23"/>
  <c r="M74" i="23"/>
  <c r="M66" i="23" s="1"/>
  <c r="M134" i="23"/>
  <c r="M135" i="23" s="1"/>
  <c r="J236" i="23"/>
  <c r="J155" i="23"/>
  <c r="M429" i="23"/>
  <c r="M428" i="23" s="1"/>
  <c r="M426" i="23" s="1"/>
  <c r="M403" i="23" s="1"/>
  <c r="J146" i="23"/>
  <c r="J143" i="23"/>
  <c r="H149" i="23"/>
  <c r="H146" i="23"/>
  <c r="H152" i="23"/>
  <c r="H155" i="23"/>
  <c r="H143" i="23"/>
  <c r="H142" i="23"/>
  <c r="H134" i="23" s="1"/>
  <c r="H159" i="23" s="1"/>
  <c r="H183" i="23"/>
  <c r="H309" i="23" s="1"/>
  <c r="H215" i="23" s="1"/>
  <c r="L146" i="23"/>
  <c r="M326" i="23"/>
  <c r="M218" i="23" s="1"/>
  <c r="M321" i="23"/>
  <c r="M213" i="23" s="1"/>
  <c r="M324" i="23"/>
  <c r="M216" i="23" s="1"/>
  <c r="L83" i="23"/>
  <c r="M368" i="23"/>
  <c r="M449" i="23"/>
  <c r="M414" i="23" s="1"/>
  <c r="M11" i="23"/>
  <c r="M335" i="23"/>
  <c r="M9" i="23" s="1"/>
  <c r="M323" i="23"/>
  <c r="M215" i="23" s="1"/>
  <c r="L143" i="23"/>
  <c r="L129" i="23"/>
  <c r="L222" i="23"/>
  <c r="I9" i="23"/>
  <c r="I167" i="23"/>
  <c r="J515" i="23"/>
  <c r="J512" i="23" s="1"/>
  <c r="J509" i="23" s="1"/>
  <c r="J508" i="23" s="1"/>
  <c r="J507" i="23" s="1"/>
  <c r="J502" i="23" s="1"/>
  <c r="J503" i="23"/>
  <c r="L515" i="23"/>
  <c r="L512" i="23" s="1"/>
  <c r="L509" i="23" s="1"/>
  <c r="L508" i="23" s="1"/>
  <c r="L507" i="23" s="1"/>
  <c r="L502" i="23" s="1"/>
  <c r="L503" i="23"/>
  <c r="L149" i="23"/>
  <c r="J496" i="23"/>
  <c r="J493" i="23" s="1"/>
  <c r="J490" i="23" s="1"/>
  <c r="J489" i="23" s="1"/>
  <c r="J488" i="23" s="1"/>
  <c r="J486" i="23" s="1"/>
  <c r="J15" i="23" s="1"/>
  <c r="M131" i="23"/>
  <c r="I134" i="23"/>
  <c r="I159" i="23" s="1"/>
  <c r="L496" i="23"/>
  <c r="L493" i="23" s="1"/>
  <c r="L490" i="23" s="1"/>
  <c r="L489" i="23" s="1"/>
  <c r="L488" i="23" s="1"/>
  <c r="L486" i="23" s="1"/>
  <c r="L15" i="23" s="1"/>
  <c r="L186" i="23"/>
  <c r="L151" i="23"/>
  <c r="H433" i="23"/>
  <c r="H429" i="23" s="1"/>
  <c r="H428" i="23" s="1"/>
  <c r="H426" i="23" s="1"/>
  <c r="H403" i="23" s="1"/>
  <c r="H81" i="23"/>
  <c r="H528" i="23" s="1"/>
  <c r="H524" i="23" s="1"/>
  <c r="G16" i="23"/>
  <c r="G501" i="23"/>
  <c r="J280" i="23"/>
  <c r="J281" i="23"/>
  <c r="J279" i="23" s="1"/>
  <c r="J278" i="23" s="1"/>
  <c r="J275" i="23" s="1"/>
  <c r="J272" i="23" s="1"/>
  <c r="J271" i="23" s="1"/>
  <c r="J268" i="23" s="1"/>
  <c r="J73" i="23"/>
  <c r="J74" i="23" s="1"/>
  <c r="L182" i="23"/>
  <c r="L139" i="23"/>
  <c r="E63" i="23"/>
  <c r="E76" i="23"/>
  <c r="E75" i="23"/>
  <c r="E87" i="23" s="1"/>
  <c r="E66" i="23"/>
  <c r="E69" i="23"/>
  <c r="E168" i="23"/>
  <c r="E169" i="23" s="1"/>
  <c r="L368" i="23"/>
  <c r="L449" i="23"/>
  <c r="L414" i="23" s="1"/>
  <c r="L281" i="23"/>
  <c r="L279" i="23" s="1"/>
  <c r="L278" i="23" s="1"/>
  <c r="L275" i="23" s="1"/>
  <c r="L272" i="23" s="1"/>
  <c r="L271" i="23" s="1"/>
  <c r="L268" i="23" s="1"/>
  <c r="L280" i="23"/>
  <c r="E161" i="23"/>
  <c r="J81" i="23"/>
  <c r="J528" i="23" s="1"/>
  <c r="J524" i="23" s="1"/>
  <c r="L11" i="23"/>
  <c r="L335" i="23"/>
  <c r="L185" i="23"/>
  <c r="L148" i="23"/>
  <c r="J368" i="23"/>
  <c r="J449" i="23"/>
  <c r="J414" i="23" s="1"/>
  <c r="L81" i="23"/>
  <c r="L528" i="23" s="1"/>
  <c r="L524" i="23" s="1"/>
  <c r="L544" i="23"/>
  <c r="L441" i="23"/>
  <c r="K433" i="23"/>
  <c r="K429" i="23" s="1"/>
  <c r="K428" i="23" s="1"/>
  <c r="K426" i="23" s="1"/>
  <c r="K403" i="23" s="1"/>
  <c r="K81" i="23"/>
  <c r="K528" i="23" s="1"/>
  <c r="K524" i="23" s="1"/>
  <c r="L183" i="23"/>
  <c r="L142" i="23"/>
  <c r="J11" i="23"/>
  <c r="J335" i="23"/>
  <c r="L152" i="23"/>
  <c r="J183" i="23"/>
  <c r="J309" i="23" s="1"/>
  <c r="J215" i="23" s="1"/>
  <c r="J142" i="23"/>
  <c r="J134" i="23" s="1"/>
  <c r="G433" i="23"/>
  <c r="G429" i="23" s="1"/>
  <c r="G428" i="23" s="1"/>
  <c r="G426" i="23" s="1"/>
  <c r="G403" i="23" s="1"/>
  <c r="G81" i="23"/>
  <c r="G528" i="23" s="1"/>
  <c r="G524" i="23" s="1"/>
  <c r="L73" i="23"/>
  <c r="L74" i="23" s="1"/>
  <c r="L131" i="23"/>
  <c r="L429" i="23"/>
  <c r="L428" i="23" s="1"/>
  <c r="L426" i="23" s="1"/>
  <c r="L403" i="23" s="1"/>
  <c r="F81" i="23"/>
  <c r="F528" i="23" s="1"/>
  <c r="F524" i="23" s="1"/>
  <c r="L155" i="23"/>
  <c r="L184" i="23"/>
  <c r="L145" i="23"/>
  <c r="J152" i="23"/>
  <c r="J131" i="23"/>
  <c r="L545" i="23"/>
  <c r="L442" i="23"/>
  <c r="F167" i="23" l="1"/>
  <c r="F168" i="23" s="1"/>
  <c r="F169" i="23" s="1"/>
  <c r="F134" i="23"/>
  <c r="F159" i="23" s="1"/>
  <c r="I81" i="23"/>
  <c r="I528" i="23" s="1"/>
  <c r="I524" i="23" s="1"/>
  <c r="G241" i="23"/>
  <c r="G245" i="23"/>
  <c r="G248" i="23"/>
  <c r="F302" i="23"/>
  <c r="F192" i="23" s="1"/>
  <c r="F208" i="23" s="1"/>
  <c r="K167" i="23"/>
  <c r="K168" i="23" s="1"/>
  <c r="K169" i="23" s="1"/>
  <c r="K321" i="23"/>
  <c r="K322" i="23" s="1"/>
  <c r="K214" i="23" s="1"/>
  <c r="F304" i="23"/>
  <c r="F194" i="23" s="1"/>
  <c r="F210" i="23" s="1"/>
  <c r="F307" i="23"/>
  <c r="F213" i="23" s="1"/>
  <c r="F233" i="23" s="1"/>
  <c r="F301" i="23"/>
  <c r="F191" i="23" s="1"/>
  <c r="F207" i="23" s="1"/>
  <c r="F310" i="23"/>
  <c r="F216" i="23" s="1"/>
  <c r="K325" i="23"/>
  <c r="K217" i="23" s="1"/>
  <c r="K326" i="23"/>
  <c r="K218" i="23" s="1"/>
  <c r="M63" i="23"/>
  <c r="G135" i="23"/>
  <c r="G160" i="23" s="1"/>
  <c r="G161" i="23" s="1"/>
  <c r="G156" i="23" s="1"/>
  <c r="K323" i="23"/>
  <c r="K215" i="23" s="1"/>
  <c r="G167" i="23"/>
  <c r="G168" i="23" s="1"/>
  <c r="G169" i="23" s="1"/>
  <c r="K134" i="23"/>
  <c r="K159" i="23" s="1"/>
  <c r="M69" i="23"/>
  <c r="I75" i="23"/>
  <c r="I175" i="23" s="1"/>
  <c r="I189" i="23" s="1"/>
  <c r="I200" i="23" s="1"/>
  <c r="I63" i="23"/>
  <c r="M75" i="23"/>
  <c r="M87" i="23" s="1"/>
  <c r="I66" i="23"/>
  <c r="M76" i="23"/>
  <c r="M181" i="23" s="1"/>
  <c r="M320" i="23" s="1"/>
  <c r="M196" i="23" s="1"/>
  <c r="M212" i="23" s="1"/>
  <c r="I76" i="23"/>
  <c r="I88" i="23" s="1"/>
  <c r="K66" i="23"/>
  <c r="G66" i="23"/>
  <c r="G63" i="23"/>
  <c r="H167" i="23"/>
  <c r="H168" i="23" s="1"/>
  <c r="H169" i="23" s="1"/>
  <c r="K76" i="23"/>
  <c r="K179" i="23" s="1"/>
  <c r="K318" i="23" s="1"/>
  <c r="K194" i="23" s="1"/>
  <c r="K210" i="23" s="1"/>
  <c r="G76" i="23"/>
  <c r="G180" i="23" s="1"/>
  <c r="G319" i="23" s="1"/>
  <c r="G195" i="23" s="1"/>
  <c r="G211" i="23" s="1"/>
  <c r="G69" i="23"/>
  <c r="K75" i="23"/>
  <c r="K69" i="23"/>
  <c r="H135" i="23"/>
  <c r="H160" i="23" s="1"/>
  <c r="H161" i="23" s="1"/>
  <c r="H242" i="23"/>
  <c r="H239" i="23"/>
  <c r="H248" i="23"/>
  <c r="H238" i="23"/>
  <c r="H245" i="23"/>
  <c r="I135" i="23"/>
  <c r="I160" i="23" s="1"/>
  <c r="I161" i="23" s="1"/>
  <c r="I156" i="23" s="1"/>
  <c r="E77" i="23"/>
  <c r="E79" i="23" s="1"/>
  <c r="M322" i="23"/>
  <c r="M214" i="23" s="1"/>
  <c r="M236" i="23" s="1"/>
  <c r="M233" i="23"/>
  <c r="E345" i="23"/>
  <c r="E343" i="23" s="1"/>
  <c r="E349" i="23"/>
  <c r="E347" i="23" s="1"/>
  <c r="F63" i="23"/>
  <c r="F76" i="23"/>
  <c r="F75" i="23"/>
  <c r="F87" i="23" s="1"/>
  <c r="F69" i="23"/>
  <c r="F66" i="23"/>
  <c r="L76" i="23"/>
  <c r="L75" i="23"/>
  <c r="L63" i="23"/>
  <c r="L66" i="23"/>
  <c r="E88" i="23"/>
  <c r="E89" i="23" s="1"/>
  <c r="E480" i="23"/>
  <c r="J75" i="23"/>
  <c r="J63" i="23"/>
  <c r="J76" i="23"/>
  <c r="J66" i="23"/>
  <c r="J16" i="23"/>
  <c r="J501" i="23"/>
  <c r="E162" i="23"/>
  <c r="E163" i="23"/>
  <c r="E141" i="23"/>
  <c r="E150" i="23"/>
  <c r="E156" i="23"/>
  <c r="E153" i="23"/>
  <c r="E144" i="23"/>
  <c r="E133" i="23"/>
  <c r="E147" i="23"/>
  <c r="E130" i="23"/>
  <c r="H76" i="23"/>
  <c r="H75" i="23"/>
  <c r="H69" i="23"/>
  <c r="H63" i="23"/>
  <c r="H66" i="23"/>
  <c r="G87" i="23"/>
  <c r="G178" i="23"/>
  <c r="G317" i="23" s="1"/>
  <c r="I168" i="23"/>
  <c r="I169" i="23" s="1"/>
  <c r="J69" i="23"/>
  <c r="L9" i="23"/>
  <c r="L134" i="23"/>
  <c r="L135" i="23" s="1"/>
  <c r="L16" i="23"/>
  <c r="L501" i="23"/>
  <c r="J238" i="23"/>
  <c r="J248" i="23"/>
  <c r="J245" i="23"/>
  <c r="J242" i="23"/>
  <c r="J239" i="23"/>
  <c r="L325" i="23"/>
  <c r="L217" i="23" s="1"/>
  <c r="L323" i="23"/>
  <c r="L215" i="23" s="1"/>
  <c r="L324" i="23"/>
  <c r="L216" i="23" s="1"/>
  <c r="L321" i="23"/>
  <c r="L213" i="23" s="1"/>
  <c r="L326" i="23"/>
  <c r="L218" i="23" s="1"/>
  <c r="J167" i="23"/>
  <c r="J159" i="23"/>
  <c r="M160" i="23"/>
  <c r="M167" i="23"/>
  <c r="M159" i="23"/>
  <c r="L167" i="23"/>
  <c r="L69" i="23"/>
  <c r="J135" i="23"/>
  <c r="J160" i="23" s="1"/>
  <c r="J9" i="23"/>
  <c r="F135" i="23" l="1"/>
  <c r="F160" i="23" s="1"/>
  <c r="F161" i="23" s="1"/>
  <c r="F162" i="23" s="1"/>
  <c r="G193" i="23"/>
  <c r="G209" i="23" s="1"/>
  <c r="G238" i="23" s="1"/>
  <c r="F232" i="23"/>
  <c r="F241" i="23"/>
  <c r="F308" i="23"/>
  <c r="F214" i="23" s="1"/>
  <c r="F245" i="23" s="1"/>
  <c r="K213" i="23"/>
  <c r="K239" i="23" s="1"/>
  <c r="M77" i="23"/>
  <c r="M78" i="23" s="1"/>
  <c r="K135" i="23"/>
  <c r="K160" i="23" s="1"/>
  <c r="K161" i="23" s="1"/>
  <c r="K181" i="23"/>
  <c r="K320" i="23" s="1"/>
  <c r="K196" i="23" s="1"/>
  <c r="K212" i="23" s="1"/>
  <c r="K247" i="23" s="1"/>
  <c r="K176" i="23"/>
  <c r="K190" i="23" s="1"/>
  <c r="K204" i="23" s="1"/>
  <c r="K224" i="23" s="1"/>
  <c r="I179" i="23"/>
  <c r="I304" i="23" s="1"/>
  <c r="I194" i="23" s="1"/>
  <c r="I210" i="23" s="1"/>
  <c r="I241" i="23" s="1"/>
  <c r="I176" i="23"/>
  <c r="I190" i="23" s="1"/>
  <c r="I204" i="23" s="1"/>
  <c r="I224" i="23" s="1"/>
  <c r="I177" i="23"/>
  <c r="I301" i="23" s="1"/>
  <c r="I191" i="23" s="1"/>
  <c r="I207" i="23" s="1"/>
  <c r="I77" i="23"/>
  <c r="I79" i="23" s="1"/>
  <c r="I480" i="23"/>
  <c r="I477" i="23" s="1"/>
  <c r="I475" i="23" s="1"/>
  <c r="I474" i="23" s="1"/>
  <c r="I471" i="23" s="1"/>
  <c r="I87" i="23"/>
  <c r="I89" i="23" s="1"/>
  <c r="K77" i="23"/>
  <c r="K79" i="23" s="1"/>
  <c r="M242" i="23"/>
  <c r="M177" i="23"/>
  <c r="M315" i="23" s="1"/>
  <c r="M191" i="23" s="1"/>
  <c r="M207" i="23" s="1"/>
  <c r="M179" i="23"/>
  <c r="M318" i="23" s="1"/>
  <c r="M194" i="23" s="1"/>
  <c r="M210" i="23" s="1"/>
  <c r="M241" i="23" s="1"/>
  <c r="F141" i="23"/>
  <c r="M88" i="23"/>
  <c r="M90" i="23" s="1"/>
  <c r="M547" i="23" s="1"/>
  <c r="K178" i="23"/>
  <c r="K317" i="23" s="1"/>
  <c r="K193" i="23" s="1"/>
  <c r="K209" i="23" s="1"/>
  <c r="K238" i="23" s="1"/>
  <c r="M79" i="23"/>
  <c r="M480" i="23"/>
  <c r="M476" i="23" s="1"/>
  <c r="M175" i="23"/>
  <c r="M189" i="23" s="1"/>
  <c r="M200" i="23" s="1"/>
  <c r="M221" i="23" s="1"/>
  <c r="M180" i="23"/>
  <c r="M319" i="23" s="1"/>
  <c r="M195" i="23" s="1"/>
  <c r="M211" i="23" s="1"/>
  <c r="M244" i="23" s="1"/>
  <c r="M176" i="23"/>
  <c r="M190" i="23" s="1"/>
  <c r="M204" i="23" s="1"/>
  <c r="M224" i="23" s="1"/>
  <c r="K180" i="23"/>
  <c r="K319" i="23" s="1"/>
  <c r="K195" i="23" s="1"/>
  <c r="K211" i="23" s="1"/>
  <c r="K244" i="23" s="1"/>
  <c r="K88" i="23"/>
  <c r="M178" i="23"/>
  <c r="M317" i="23" s="1"/>
  <c r="M193" i="23" s="1"/>
  <c r="M209" i="23" s="1"/>
  <c r="M238" i="23" s="1"/>
  <c r="F156" i="23"/>
  <c r="F130" i="23"/>
  <c r="J161" i="23"/>
  <c r="J147" i="23" s="1"/>
  <c r="F133" i="23"/>
  <c r="F147" i="23"/>
  <c r="I130" i="23"/>
  <c r="K177" i="23"/>
  <c r="K316" i="23" s="1"/>
  <c r="K192" i="23" s="1"/>
  <c r="K208" i="23" s="1"/>
  <c r="F150" i="23"/>
  <c r="G480" i="23"/>
  <c r="G476" i="23" s="1"/>
  <c r="G88" i="23"/>
  <c r="G89" i="23" s="1"/>
  <c r="I162" i="23"/>
  <c r="F144" i="23"/>
  <c r="F163" i="23"/>
  <c r="G144" i="23"/>
  <c r="K87" i="23"/>
  <c r="G77" i="23"/>
  <c r="G78" i="23" s="1"/>
  <c r="I141" i="23"/>
  <c r="G163" i="23"/>
  <c r="I163" i="23"/>
  <c r="G130" i="23"/>
  <c r="E78" i="23"/>
  <c r="E439" i="23" s="1"/>
  <c r="K175" i="23"/>
  <c r="K189" i="23" s="1"/>
  <c r="K200" i="23" s="1"/>
  <c r="K221" i="23" s="1"/>
  <c r="K480" i="23"/>
  <c r="K477" i="23" s="1"/>
  <c r="K475" i="23" s="1"/>
  <c r="K474" i="23" s="1"/>
  <c r="K471" i="23" s="1"/>
  <c r="G153" i="23"/>
  <c r="G141" i="23"/>
  <c r="I133" i="23"/>
  <c r="I153" i="23"/>
  <c r="I150" i="23"/>
  <c r="G162" i="23"/>
  <c r="L160" i="23"/>
  <c r="M161" i="23"/>
  <c r="M141" i="23" s="1"/>
  <c r="G147" i="23"/>
  <c r="M245" i="23"/>
  <c r="J77" i="23"/>
  <c r="J78" i="23" s="1"/>
  <c r="E136" i="23"/>
  <c r="E164" i="23" s="1"/>
  <c r="I147" i="23"/>
  <c r="G150" i="23"/>
  <c r="M248" i="23"/>
  <c r="L159" i="23"/>
  <c r="I144" i="23"/>
  <c r="G133" i="23"/>
  <c r="M239" i="23"/>
  <c r="E342" i="23"/>
  <c r="G349" i="23"/>
  <c r="G347" i="23" s="1"/>
  <c r="G345" i="23"/>
  <c r="G343" i="23" s="1"/>
  <c r="I345" i="23"/>
  <c r="I343" i="23" s="1"/>
  <c r="I349" i="23"/>
  <c r="I347" i="23" s="1"/>
  <c r="H345" i="23"/>
  <c r="H343" i="23" s="1"/>
  <c r="H349" i="23"/>
  <c r="H347" i="23" s="1"/>
  <c r="E546" i="23"/>
  <c r="E443" i="23"/>
  <c r="F349" i="23"/>
  <c r="F347" i="23" s="1"/>
  <c r="F345" i="23"/>
  <c r="F343" i="23" s="1"/>
  <c r="K349" i="23"/>
  <c r="K347" i="23" s="1"/>
  <c r="K345" i="23"/>
  <c r="K343" i="23" s="1"/>
  <c r="L233" i="23"/>
  <c r="M168" i="23"/>
  <c r="M169" i="23" s="1"/>
  <c r="M247" i="23"/>
  <c r="L87" i="23"/>
  <c r="L175" i="23"/>
  <c r="L189" i="23" s="1"/>
  <c r="L200" i="23" s="1"/>
  <c r="J168" i="23"/>
  <c r="J169" i="23" s="1"/>
  <c r="E90" i="23"/>
  <c r="E547" i="23" s="1"/>
  <c r="L88" i="23"/>
  <c r="L176" i="23"/>
  <c r="L190" i="23" s="1"/>
  <c r="L204" i="23" s="1"/>
  <c r="L480" i="23"/>
  <c r="L181" i="23"/>
  <c r="L320" i="23" s="1"/>
  <c r="L196" i="23" s="1"/>
  <c r="L212" i="23" s="1"/>
  <c r="L177" i="23"/>
  <c r="L179" i="23"/>
  <c r="L318" i="23" s="1"/>
  <c r="L194" i="23" s="1"/>
  <c r="L210" i="23" s="1"/>
  <c r="L178" i="23"/>
  <c r="L317" i="23" s="1"/>
  <c r="L193" i="23" s="1"/>
  <c r="L209" i="23" s="1"/>
  <c r="L180" i="23"/>
  <c r="L319" i="23" s="1"/>
  <c r="L195" i="23" s="1"/>
  <c r="L211" i="23" s="1"/>
  <c r="I221" i="23"/>
  <c r="J179" i="23"/>
  <c r="J304" i="23" s="1"/>
  <c r="J194" i="23" s="1"/>
  <c r="J210" i="23" s="1"/>
  <c r="J176" i="23"/>
  <c r="J190" i="23" s="1"/>
  <c r="J204" i="23" s="1"/>
  <c r="J88" i="23"/>
  <c r="J480" i="23"/>
  <c r="F77" i="23"/>
  <c r="L77" i="23"/>
  <c r="K241" i="23"/>
  <c r="H77" i="23"/>
  <c r="L168" i="23"/>
  <c r="L169" i="23" s="1"/>
  <c r="L322" i="23"/>
  <c r="L214" i="23" s="1"/>
  <c r="L242" i="23" s="1"/>
  <c r="J87" i="23"/>
  <c r="J177" i="23"/>
  <c r="J175" i="23"/>
  <c r="J189" i="23" s="1"/>
  <c r="J200" i="23" s="1"/>
  <c r="F88" i="23"/>
  <c r="F178" i="23"/>
  <c r="F303" i="23" s="1"/>
  <c r="F193" i="23" s="1"/>
  <c r="F209" i="23" s="1"/>
  <c r="F480" i="23"/>
  <c r="G244" i="23"/>
  <c r="H87" i="23"/>
  <c r="H177" i="23"/>
  <c r="H175" i="23"/>
  <c r="H189" i="23" s="1"/>
  <c r="H200" i="23" s="1"/>
  <c r="H163" i="23"/>
  <c r="H162" i="23"/>
  <c r="H150" i="23"/>
  <c r="H130" i="23"/>
  <c r="H144" i="23"/>
  <c r="H133" i="23"/>
  <c r="H147" i="23"/>
  <c r="H156" i="23"/>
  <c r="H141" i="23"/>
  <c r="H153" i="23"/>
  <c r="H88" i="23"/>
  <c r="H176" i="23"/>
  <c r="H190" i="23" s="1"/>
  <c r="H204" i="23" s="1"/>
  <c r="H179" i="23"/>
  <c r="H304" i="23" s="1"/>
  <c r="H194" i="23" s="1"/>
  <c r="H210" i="23" s="1"/>
  <c r="H480" i="23"/>
  <c r="E477" i="23"/>
  <c r="E475" i="23" s="1"/>
  <c r="E474" i="23" s="1"/>
  <c r="E471" i="23" s="1"/>
  <c r="E476" i="23"/>
  <c r="F236" i="23" l="1"/>
  <c r="F239" i="23"/>
  <c r="F153" i="23"/>
  <c r="F136" i="23" s="1"/>
  <c r="F164" i="23" s="1"/>
  <c r="F166" i="23" s="1"/>
  <c r="F242" i="23"/>
  <c r="F235" i="23"/>
  <c r="K248" i="23"/>
  <c r="K236" i="23"/>
  <c r="F248" i="23"/>
  <c r="K242" i="23"/>
  <c r="K233" i="23"/>
  <c r="K245" i="23"/>
  <c r="K150" i="23"/>
  <c r="K162" i="23"/>
  <c r="K147" i="23"/>
  <c r="K144" i="23"/>
  <c r="K163" i="23"/>
  <c r="K133" i="23"/>
  <c r="K130" i="23"/>
  <c r="K156" i="23"/>
  <c r="K153" i="23"/>
  <c r="K141" i="23"/>
  <c r="I302" i="23"/>
  <c r="I192" i="23" s="1"/>
  <c r="I208" i="23" s="1"/>
  <c r="M477" i="23"/>
  <c r="M475" i="23" s="1"/>
  <c r="M474" i="23" s="1"/>
  <c r="M471" i="23" s="1"/>
  <c r="M339" i="23" s="1"/>
  <c r="I78" i="23"/>
  <c r="I400" i="23" s="1"/>
  <c r="I476" i="23"/>
  <c r="K342" i="23"/>
  <c r="M400" i="23"/>
  <c r="I90" i="23"/>
  <c r="I547" i="23" s="1"/>
  <c r="M316" i="23"/>
  <c r="M192" i="23" s="1"/>
  <c r="M208" i="23" s="1"/>
  <c r="M235" i="23" s="1"/>
  <c r="K78" i="23"/>
  <c r="K538" i="23" s="1"/>
  <c r="K89" i="23"/>
  <c r="K443" i="23" s="1"/>
  <c r="E394" i="23"/>
  <c r="K315" i="23"/>
  <c r="K191" i="23" s="1"/>
  <c r="K207" i="23" s="1"/>
  <c r="K232" i="23" s="1"/>
  <c r="E538" i="23"/>
  <c r="M163" i="23"/>
  <c r="M89" i="23"/>
  <c r="M443" i="23" s="1"/>
  <c r="M394" i="23"/>
  <c r="M538" i="23"/>
  <c r="J141" i="23"/>
  <c r="M439" i="23"/>
  <c r="K476" i="23"/>
  <c r="J130" i="23"/>
  <c r="J150" i="23"/>
  <c r="K90" i="23"/>
  <c r="K547" i="23" s="1"/>
  <c r="J133" i="23"/>
  <c r="J156" i="23"/>
  <c r="J163" i="23"/>
  <c r="J162" i="23"/>
  <c r="J153" i="23"/>
  <c r="G477" i="23"/>
  <c r="G475" i="23" s="1"/>
  <c r="G474" i="23" s="1"/>
  <c r="G471" i="23" s="1"/>
  <c r="G339" i="23" s="1"/>
  <c r="J79" i="23"/>
  <c r="J400" i="23" s="1"/>
  <c r="J144" i="23"/>
  <c r="G90" i="23"/>
  <c r="G547" i="23" s="1"/>
  <c r="M147" i="23"/>
  <c r="G79" i="23"/>
  <c r="G394" i="23" s="1"/>
  <c r="E400" i="23"/>
  <c r="M130" i="23"/>
  <c r="M150" i="23"/>
  <c r="I136" i="23"/>
  <c r="I164" i="23" s="1"/>
  <c r="I165" i="23" s="1"/>
  <c r="G136" i="23"/>
  <c r="G164" i="23" s="1"/>
  <c r="G166" i="23" s="1"/>
  <c r="G342" i="23"/>
  <c r="M162" i="23"/>
  <c r="M133" i="23"/>
  <c r="M153" i="23"/>
  <c r="M156" i="23"/>
  <c r="M144" i="23"/>
  <c r="F90" i="23"/>
  <c r="F547" i="23" s="1"/>
  <c r="E540" i="23"/>
  <c r="L161" i="23"/>
  <c r="H342" i="23"/>
  <c r="I342" i="23"/>
  <c r="M349" i="23"/>
  <c r="M347" i="23" s="1"/>
  <c r="M345" i="23"/>
  <c r="M343" i="23" s="1"/>
  <c r="J345" i="23"/>
  <c r="J343" i="23" s="1"/>
  <c r="J349" i="23"/>
  <c r="J347" i="23" s="1"/>
  <c r="K339" i="23"/>
  <c r="K468" i="23"/>
  <c r="K467" i="23" s="1"/>
  <c r="L224" i="23"/>
  <c r="I339" i="23"/>
  <c r="I468" i="23"/>
  <c r="I467" i="23" s="1"/>
  <c r="E166" i="23"/>
  <c r="E165" i="23"/>
  <c r="L239" i="23"/>
  <c r="H477" i="23"/>
  <c r="H475" i="23" s="1"/>
  <c r="H474" i="23" s="1"/>
  <c r="H471" i="23" s="1"/>
  <c r="H476" i="23"/>
  <c r="F89" i="23"/>
  <c r="K235" i="23"/>
  <c r="L221" i="23"/>
  <c r="H241" i="23"/>
  <c r="L79" i="23"/>
  <c r="L78" i="23"/>
  <c r="L90" i="23"/>
  <c r="L547" i="23" s="1"/>
  <c r="L89" i="23"/>
  <c r="M232" i="23"/>
  <c r="H78" i="23"/>
  <c r="H79" i="23"/>
  <c r="F477" i="23"/>
  <c r="F475" i="23" s="1"/>
  <c r="F474" i="23" s="1"/>
  <c r="F471" i="23" s="1"/>
  <c r="F476" i="23"/>
  <c r="H224" i="23"/>
  <c r="L244" i="23"/>
  <c r="J90" i="23"/>
  <c r="J547" i="23" s="1"/>
  <c r="J89" i="23"/>
  <c r="J221" i="23"/>
  <c r="J301" i="23"/>
  <c r="J191" i="23" s="1"/>
  <c r="J207" i="23" s="1"/>
  <c r="J302" i="23"/>
  <c r="J192" i="23" s="1"/>
  <c r="J208" i="23" s="1"/>
  <c r="F78" i="23"/>
  <c r="F79" i="23"/>
  <c r="L241" i="23"/>
  <c r="L238" i="23"/>
  <c r="G260" i="23"/>
  <c r="E436" i="23"/>
  <c r="J477" i="23"/>
  <c r="J475" i="23" s="1"/>
  <c r="J474" i="23" s="1"/>
  <c r="J471" i="23" s="1"/>
  <c r="J476" i="23"/>
  <c r="G546" i="23"/>
  <c r="G443" i="23"/>
  <c r="L315" i="23"/>
  <c r="L191" i="23" s="1"/>
  <c r="L207" i="23" s="1"/>
  <c r="L316" i="23"/>
  <c r="L192" i="23" s="1"/>
  <c r="L208" i="23" s="1"/>
  <c r="L245" i="23"/>
  <c r="F342" i="23"/>
  <c r="I443" i="23"/>
  <c r="I546" i="23"/>
  <c r="J224" i="23"/>
  <c r="L247" i="23"/>
  <c r="I235" i="23"/>
  <c r="L248" i="23"/>
  <c r="F238" i="23"/>
  <c r="J241" i="23"/>
  <c r="L477" i="23"/>
  <c r="L475" i="23" s="1"/>
  <c r="L474" i="23" s="1"/>
  <c r="L471" i="23" s="1"/>
  <c r="L476" i="23"/>
  <c r="I232" i="23"/>
  <c r="E339" i="23"/>
  <c r="E468" i="23"/>
  <c r="E467" i="23" s="1"/>
  <c r="L236" i="23"/>
  <c r="L349" i="23"/>
  <c r="L347" i="23" s="1"/>
  <c r="L345" i="23"/>
  <c r="L343" i="23" s="1"/>
  <c r="H301" i="23"/>
  <c r="H191" i="23" s="1"/>
  <c r="H207" i="23" s="1"/>
  <c r="H302" i="23"/>
  <c r="H192" i="23" s="1"/>
  <c r="H208" i="23" s="1"/>
  <c r="G227" i="23"/>
  <c r="G228" i="23" s="1"/>
  <c r="H90" i="23"/>
  <c r="H547" i="23" s="1"/>
  <c r="H89" i="23"/>
  <c r="H221" i="23"/>
  <c r="H136" i="23"/>
  <c r="H164" i="23" s="1"/>
  <c r="I538" i="23" l="1"/>
  <c r="K136" i="23"/>
  <c r="K164" i="23" s="1"/>
  <c r="I394" i="23"/>
  <c r="I439" i="23"/>
  <c r="I436" i="23" s="1"/>
  <c r="I425" i="23" s="1"/>
  <c r="K394" i="23"/>
  <c r="M546" i="23"/>
  <c r="M540" i="23" s="1"/>
  <c r="K439" i="23"/>
  <c r="K436" i="23" s="1"/>
  <c r="K400" i="23"/>
  <c r="M468" i="23"/>
  <c r="M467" i="23" s="1"/>
  <c r="M465" i="23" s="1"/>
  <c r="M415" i="23" s="1"/>
  <c r="M411" i="23" s="1"/>
  <c r="I540" i="23"/>
  <c r="K546" i="23"/>
  <c r="K540" i="23" s="1"/>
  <c r="M342" i="23"/>
  <c r="G468" i="23"/>
  <c r="G467" i="23" s="1"/>
  <c r="G465" i="23" s="1"/>
  <c r="G415" i="23" s="1"/>
  <c r="G411" i="23" s="1"/>
  <c r="J538" i="23"/>
  <c r="J439" i="23"/>
  <c r="G540" i="23"/>
  <c r="J136" i="23"/>
  <c r="J164" i="23" s="1"/>
  <c r="J166" i="23" s="1"/>
  <c r="J394" i="23"/>
  <c r="M436" i="23"/>
  <c r="M425" i="23" s="1"/>
  <c r="M422" i="23" s="1"/>
  <c r="M421" i="23" s="1"/>
  <c r="M402" i="23" s="1"/>
  <c r="M398" i="23" s="1"/>
  <c r="F165" i="23"/>
  <c r="G538" i="23"/>
  <c r="G439" i="23"/>
  <c r="G436" i="23" s="1"/>
  <c r="G425" i="23" s="1"/>
  <c r="G400" i="23"/>
  <c r="I166" i="23"/>
  <c r="I260" i="23"/>
  <c r="I261" i="23" s="1"/>
  <c r="I262" i="23" s="1"/>
  <c r="L342" i="23"/>
  <c r="G165" i="23"/>
  <c r="M136" i="23"/>
  <c r="M164" i="23" s="1"/>
  <c r="M165" i="23" s="1"/>
  <c r="M260" i="23"/>
  <c r="M261" i="23" s="1"/>
  <c r="M262" i="23" s="1"/>
  <c r="J342" i="23"/>
  <c r="L153" i="23"/>
  <c r="L162" i="23"/>
  <c r="L147" i="23"/>
  <c r="L163" i="23"/>
  <c r="L130" i="23"/>
  <c r="L150" i="23"/>
  <c r="L144" i="23"/>
  <c r="L141" i="23"/>
  <c r="L133" i="23"/>
  <c r="L156" i="23"/>
  <c r="H339" i="23"/>
  <c r="H468" i="23"/>
  <c r="H467" i="23" s="1"/>
  <c r="H165" i="23"/>
  <c r="H166" i="23"/>
  <c r="L339" i="23"/>
  <c r="L468" i="23"/>
  <c r="L467" i="23" s="1"/>
  <c r="J339" i="23"/>
  <c r="J468" i="23"/>
  <c r="J467" i="23" s="1"/>
  <c r="E12" i="23"/>
  <c r="E338" i="23"/>
  <c r="K166" i="23"/>
  <c r="K165" i="23"/>
  <c r="I227" i="23"/>
  <c r="L235" i="23"/>
  <c r="K12" i="23"/>
  <c r="K338" i="23"/>
  <c r="L232" i="23"/>
  <c r="J443" i="23"/>
  <c r="J546" i="23"/>
  <c r="J540" i="23" s="1"/>
  <c r="M227" i="23"/>
  <c r="F339" i="23"/>
  <c r="F468" i="23"/>
  <c r="F467" i="23" s="1"/>
  <c r="M12" i="23"/>
  <c r="M338" i="23"/>
  <c r="H443" i="23"/>
  <c r="H546" i="23"/>
  <c r="H540" i="23" s="1"/>
  <c r="K227" i="23"/>
  <c r="K228" i="23" s="1"/>
  <c r="K260" i="23"/>
  <c r="L443" i="23"/>
  <c r="L546" i="23"/>
  <c r="L540" i="23" s="1"/>
  <c r="I465" i="23"/>
  <c r="I415" i="23" s="1"/>
  <c r="I411" i="23" s="1"/>
  <c r="I466" i="23"/>
  <c r="L394" i="23"/>
  <c r="L400" i="23"/>
  <c r="L439" i="23"/>
  <c r="L538" i="23"/>
  <c r="F546" i="23"/>
  <c r="F540" i="23" s="1"/>
  <c r="F443" i="23"/>
  <c r="I12" i="23"/>
  <c r="I338" i="23"/>
  <c r="G253" i="23"/>
  <c r="G252" i="23"/>
  <c r="F227" i="23"/>
  <c r="F228" i="23" s="1"/>
  <c r="F260" i="23"/>
  <c r="G12" i="23"/>
  <c r="G338" i="23"/>
  <c r="H235" i="23"/>
  <c r="F394" i="23"/>
  <c r="F400" i="23"/>
  <c r="F439" i="23"/>
  <c r="F538" i="23"/>
  <c r="H439" i="23"/>
  <c r="H394" i="23"/>
  <c r="H538" i="23"/>
  <c r="H400" i="23"/>
  <c r="H232" i="23"/>
  <c r="E425" i="23"/>
  <c r="E422" i="23" s="1"/>
  <c r="E421" i="23" s="1"/>
  <c r="E402" i="23" s="1"/>
  <c r="E398" i="23" s="1"/>
  <c r="E466" i="23"/>
  <c r="E465" i="23"/>
  <c r="E415" i="23" s="1"/>
  <c r="E411" i="23" s="1"/>
  <c r="E410" i="23" s="1"/>
  <c r="E407" i="23" s="1"/>
  <c r="E406" i="23" s="1"/>
  <c r="E395" i="23" s="1"/>
  <c r="G261" i="23"/>
  <c r="G262" i="23" s="1"/>
  <c r="J235" i="23"/>
  <c r="J232" i="23"/>
  <c r="K466" i="23"/>
  <c r="K465" i="23"/>
  <c r="K415" i="23" s="1"/>
  <c r="K411" i="23" s="1"/>
  <c r="M466" i="23" l="1"/>
  <c r="G466" i="23"/>
  <c r="J165" i="23"/>
  <c r="J436" i="23"/>
  <c r="J425" i="23" s="1"/>
  <c r="J260" i="23"/>
  <c r="J261" i="23" s="1"/>
  <c r="J262" i="23" s="1"/>
  <c r="L260" i="23"/>
  <c r="L261" i="23" s="1"/>
  <c r="L262" i="23" s="1"/>
  <c r="L436" i="23"/>
  <c r="L425" i="23" s="1"/>
  <c r="L136" i="23"/>
  <c r="L164" i="23" s="1"/>
  <c r="M166" i="23"/>
  <c r="H260" i="23"/>
  <c r="H261" i="23" s="1"/>
  <c r="H262" i="23" s="1"/>
  <c r="F436" i="23"/>
  <c r="F425" i="23" s="1"/>
  <c r="F261" i="23"/>
  <c r="F262" i="23" s="1"/>
  <c r="I539" i="23"/>
  <c r="I535" i="23" s="1"/>
  <c r="I534" i="23" s="1"/>
  <c r="I396" i="23"/>
  <c r="F466" i="23"/>
  <c r="F465" i="23"/>
  <c r="F415" i="23" s="1"/>
  <c r="F411" i="23" s="1"/>
  <c r="H227" i="23"/>
  <c r="H228" i="23" s="1"/>
  <c r="F253" i="23"/>
  <c r="F252" i="23"/>
  <c r="F12" i="23"/>
  <c r="F338" i="23"/>
  <c r="J466" i="23"/>
  <c r="J465" i="23"/>
  <c r="J415" i="23" s="1"/>
  <c r="J411" i="23" s="1"/>
  <c r="I420" i="23"/>
  <c r="I401" i="23" s="1"/>
  <c r="I422" i="23"/>
  <c r="I421" i="23" s="1"/>
  <c r="I402" i="23" s="1"/>
  <c r="M396" i="23"/>
  <c r="M539" i="23"/>
  <c r="M535" i="23" s="1"/>
  <c r="M534" i="23" s="1"/>
  <c r="I252" i="23"/>
  <c r="J12" i="23"/>
  <c r="J338" i="23"/>
  <c r="E539" i="23"/>
  <c r="E535" i="23" s="1"/>
  <c r="E534" i="23" s="1"/>
  <c r="E396" i="23"/>
  <c r="E392" i="23" s="1"/>
  <c r="E390" i="23" s="1"/>
  <c r="E14" i="23" s="1"/>
  <c r="I410" i="23"/>
  <c r="I407" i="23" s="1"/>
  <c r="I406" i="23" s="1"/>
  <c r="I395" i="23" s="1"/>
  <c r="I228" i="23"/>
  <c r="I253" i="23" s="1"/>
  <c r="H465" i="23"/>
  <c r="H415" i="23" s="1"/>
  <c r="H411" i="23" s="1"/>
  <c r="H466" i="23"/>
  <c r="K261" i="23"/>
  <c r="K262" i="23" s="1"/>
  <c r="H12" i="23"/>
  <c r="H338" i="23"/>
  <c r="M252" i="23"/>
  <c r="L466" i="23"/>
  <c r="L465" i="23"/>
  <c r="L415" i="23" s="1"/>
  <c r="L411" i="23" s="1"/>
  <c r="G254" i="23"/>
  <c r="M228" i="23"/>
  <c r="M253" i="23" s="1"/>
  <c r="L227" i="23"/>
  <c r="L228" i="23" s="1"/>
  <c r="L12" i="23"/>
  <c r="L338" i="23"/>
  <c r="K396" i="23"/>
  <c r="K539" i="23"/>
  <c r="K535" i="23" s="1"/>
  <c r="K534" i="23" s="1"/>
  <c r="G539" i="23"/>
  <c r="G535" i="23" s="1"/>
  <c r="G534" i="23" s="1"/>
  <c r="G396" i="23"/>
  <c r="K253" i="23"/>
  <c r="K252" i="23"/>
  <c r="G410" i="23"/>
  <c r="G407" i="23" s="1"/>
  <c r="G406" i="23" s="1"/>
  <c r="G395" i="23" s="1"/>
  <c r="H436" i="23"/>
  <c r="I10" i="23"/>
  <c r="I333" i="23"/>
  <c r="I8" i="23" s="1"/>
  <c r="G420" i="23"/>
  <c r="G401" i="23" s="1"/>
  <c r="G422" i="23"/>
  <c r="G421" i="23" s="1"/>
  <c r="G402" i="23" s="1"/>
  <c r="E10" i="23"/>
  <c r="E333" i="23"/>
  <c r="E8" i="23" s="1"/>
  <c r="K410" i="23"/>
  <c r="K407" i="23" s="1"/>
  <c r="K406" i="23" s="1"/>
  <c r="K395" i="23" s="1"/>
  <c r="K425" i="23"/>
  <c r="G10" i="23"/>
  <c r="G333" i="23"/>
  <c r="G8" i="23" s="1"/>
  <c r="K10" i="23"/>
  <c r="K333" i="23"/>
  <c r="K8" i="23" s="1"/>
  <c r="J227" i="23"/>
  <c r="M10" i="23"/>
  <c r="M333" i="23"/>
  <c r="M8" i="23" s="1"/>
  <c r="M410" i="23"/>
  <c r="M407" i="23" s="1"/>
  <c r="M406" i="23" s="1"/>
  <c r="M395" i="23" s="1"/>
  <c r="M392" i="23" l="1"/>
  <c r="M390" i="23" s="1"/>
  <c r="M14" i="23" s="1"/>
  <c r="J410" i="23"/>
  <c r="J407" i="23" s="1"/>
  <c r="J406" i="23" s="1"/>
  <c r="J395" i="23" s="1"/>
  <c r="F410" i="23"/>
  <c r="F407" i="23" s="1"/>
  <c r="F406" i="23" s="1"/>
  <c r="F395" i="23" s="1"/>
  <c r="I392" i="23"/>
  <c r="L410" i="23"/>
  <c r="L407" i="23" s="1"/>
  <c r="L406" i="23" s="1"/>
  <c r="L395" i="23" s="1"/>
  <c r="G392" i="23"/>
  <c r="M254" i="23"/>
  <c r="M255" i="23" s="1"/>
  <c r="M54" i="23" s="1"/>
  <c r="M55" i="23" s="1"/>
  <c r="I254" i="23"/>
  <c r="I256" i="23" s="1"/>
  <c r="L165" i="23"/>
  <c r="L166" i="23"/>
  <c r="K392" i="23"/>
  <c r="F254" i="23"/>
  <c r="F255" i="23" s="1"/>
  <c r="F54" i="23" s="1"/>
  <c r="F55" i="23" s="1"/>
  <c r="L253" i="23"/>
  <c r="L252" i="23"/>
  <c r="K420" i="23"/>
  <c r="K401" i="23" s="1"/>
  <c r="K422" i="23"/>
  <c r="K421" i="23" s="1"/>
  <c r="K402" i="23" s="1"/>
  <c r="K254" i="23"/>
  <c r="G256" i="23"/>
  <c r="G255" i="23"/>
  <c r="G54" i="23" s="1"/>
  <c r="G55" i="23" s="1"/>
  <c r="G223" i="23"/>
  <c r="G237" i="23"/>
  <c r="G243" i="23"/>
  <c r="G226" i="23"/>
  <c r="G234" i="23"/>
  <c r="G249" i="23"/>
  <c r="G240" i="23"/>
  <c r="G246" i="23"/>
  <c r="F422" i="23"/>
  <c r="F421" i="23" s="1"/>
  <c r="F402" i="23" s="1"/>
  <c r="F420" i="23"/>
  <c r="F401" i="23" s="1"/>
  <c r="H539" i="23"/>
  <c r="H535" i="23" s="1"/>
  <c r="H534" i="23" s="1"/>
  <c r="H396" i="23"/>
  <c r="H253" i="23"/>
  <c r="H252" i="23"/>
  <c r="L396" i="23"/>
  <c r="L539" i="23"/>
  <c r="L535" i="23" s="1"/>
  <c r="L534" i="23" s="1"/>
  <c r="I398" i="23"/>
  <c r="F396" i="23"/>
  <c r="F539" i="23"/>
  <c r="F535" i="23" s="1"/>
  <c r="F534" i="23" s="1"/>
  <c r="J539" i="23"/>
  <c r="J535" i="23" s="1"/>
  <c r="J534" i="23" s="1"/>
  <c r="J396" i="23"/>
  <c r="G398" i="23"/>
  <c r="J252" i="23"/>
  <c r="F10" i="23"/>
  <c r="F333" i="23"/>
  <c r="F8" i="23" s="1"/>
  <c r="J228" i="23"/>
  <c r="J253" i="23" s="1"/>
  <c r="L10" i="23"/>
  <c r="L333" i="23"/>
  <c r="L8" i="23" s="1"/>
  <c r="J10" i="23"/>
  <c r="J333" i="23"/>
  <c r="J8" i="23" s="1"/>
  <c r="H10" i="23"/>
  <c r="H333" i="23"/>
  <c r="H8" i="23" s="1"/>
  <c r="L420" i="23"/>
  <c r="L401" i="23" s="1"/>
  <c r="L422" i="23"/>
  <c r="L421" i="23" s="1"/>
  <c r="L402" i="23" s="1"/>
  <c r="J420" i="23"/>
  <c r="J401" i="23" s="1"/>
  <c r="J422" i="23"/>
  <c r="J421" i="23" s="1"/>
  <c r="J402" i="23" s="1"/>
  <c r="H425" i="23"/>
  <c r="H410" i="23"/>
  <c r="H407" i="23" s="1"/>
  <c r="H406" i="23" s="1"/>
  <c r="H395" i="23" s="1"/>
  <c r="G390" i="23" l="1"/>
  <c r="G14" i="23" s="1"/>
  <c r="J392" i="23"/>
  <c r="L392" i="23"/>
  <c r="J254" i="23"/>
  <c r="J243" i="23" s="1"/>
  <c r="I390" i="23"/>
  <c r="I14" i="23" s="1"/>
  <c r="H392" i="23"/>
  <c r="K398" i="23"/>
  <c r="K390" i="23" s="1"/>
  <c r="K14" i="23" s="1"/>
  <c r="F392" i="23"/>
  <c r="I237" i="23"/>
  <c r="I249" i="23"/>
  <c r="I255" i="23"/>
  <c r="I54" i="23" s="1"/>
  <c r="I55" i="23" s="1"/>
  <c r="M237" i="23"/>
  <c r="M249" i="23"/>
  <c r="I246" i="23"/>
  <c r="M234" i="23"/>
  <c r="M226" i="23"/>
  <c r="M246" i="23"/>
  <c r="J398" i="23"/>
  <c r="F249" i="23"/>
  <c r="F246" i="23"/>
  <c r="F226" i="23"/>
  <c r="M240" i="23"/>
  <c r="M223" i="23"/>
  <c r="M256" i="23"/>
  <c r="F237" i="23"/>
  <c r="F234" i="23"/>
  <c r="F223" i="23"/>
  <c r="F256" i="23"/>
  <c r="F240" i="23"/>
  <c r="I234" i="23"/>
  <c r="M243" i="23"/>
  <c r="F243" i="23"/>
  <c r="I243" i="23"/>
  <c r="L254" i="23"/>
  <c r="L256" i="23" s="1"/>
  <c r="I223" i="23"/>
  <c r="I226" i="23"/>
  <c r="I240" i="23"/>
  <c r="L398" i="23"/>
  <c r="F398" i="23"/>
  <c r="H420" i="23"/>
  <c r="H401" i="23" s="1"/>
  <c r="H422" i="23"/>
  <c r="H421" i="23" s="1"/>
  <c r="H402" i="23" s="1"/>
  <c r="G229" i="23"/>
  <c r="G257" i="23" s="1"/>
  <c r="H254" i="23"/>
  <c r="K255" i="23"/>
  <c r="K54" i="23" s="1"/>
  <c r="K55" i="23" s="1"/>
  <c r="K256" i="23"/>
  <c r="K240" i="23"/>
  <c r="K226" i="23"/>
  <c r="K243" i="23"/>
  <c r="K223" i="23"/>
  <c r="K246" i="23"/>
  <c r="K249" i="23"/>
  <c r="K234" i="23"/>
  <c r="K237" i="23"/>
  <c r="J390" i="23" l="1"/>
  <c r="J14" i="23" s="1"/>
  <c r="L390" i="23"/>
  <c r="L14" i="23" s="1"/>
  <c r="J223" i="23"/>
  <c r="J249" i="23"/>
  <c r="J256" i="23"/>
  <c r="F390" i="23"/>
  <c r="F14" i="23" s="1"/>
  <c r="J234" i="23"/>
  <c r="J226" i="23"/>
  <c r="J240" i="23"/>
  <c r="J246" i="23"/>
  <c r="J255" i="23"/>
  <c r="J54" i="23" s="1"/>
  <c r="J55" i="23" s="1"/>
  <c r="J237" i="23"/>
  <c r="M229" i="23"/>
  <c r="M257" i="23" s="1"/>
  <c r="M259" i="23" s="1"/>
  <c r="L237" i="23"/>
  <c r="L223" i="23"/>
  <c r="F229" i="23"/>
  <c r="F257" i="23" s="1"/>
  <c r="F259" i="23" s="1"/>
  <c r="I229" i="23"/>
  <c r="I257" i="23" s="1"/>
  <c r="I258" i="23" s="1"/>
  <c r="L246" i="23"/>
  <c r="L234" i="23"/>
  <c r="L249" i="23"/>
  <c r="L226" i="23"/>
  <c r="L240" i="23"/>
  <c r="L243" i="23"/>
  <c r="L255" i="23"/>
  <c r="L54" i="23" s="1"/>
  <c r="L55" i="23" s="1"/>
  <c r="H398" i="23"/>
  <c r="H390" i="23" s="1"/>
  <c r="H14" i="23" s="1"/>
  <c r="G258" i="23"/>
  <c r="G259" i="23"/>
  <c r="H256" i="23"/>
  <c r="H255" i="23"/>
  <c r="H54" i="23" s="1"/>
  <c r="H55" i="23" s="1"/>
  <c r="H249" i="23"/>
  <c r="H240" i="23"/>
  <c r="H246" i="23"/>
  <c r="H226" i="23"/>
  <c r="H223" i="23"/>
  <c r="H237" i="23"/>
  <c r="H243" i="23"/>
  <c r="H234" i="23"/>
  <c r="K229" i="23"/>
  <c r="K257" i="23" s="1"/>
  <c r="J229" i="23" l="1"/>
  <c r="J257" i="23" s="1"/>
  <c r="J258" i="23" s="1"/>
  <c r="F258" i="23"/>
  <c r="F383" i="23" s="1"/>
  <c r="F381" i="23" s="1"/>
  <c r="L229" i="23"/>
  <c r="L257" i="23" s="1"/>
  <c r="L259" i="23" s="1"/>
  <c r="M258" i="23"/>
  <c r="M360" i="23" s="1"/>
  <c r="M358" i="23" s="1"/>
  <c r="I259" i="23"/>
  <c r="I367" i="23" s="1"/>
  <c r="I365" i="23" s="1"/>
  <c r="K259" i="23"/>
  <c r="K258" i="23"/>
  <c r="F356" i="23"/>
  <c r="F354" i="23" s="1"/>
  <c r="F367" i="23"/>
  <c r="F365" i="23" s="1"/>
  <c r="F379" i="23"/>
  <c r="F377" i="23" s="1"/>
  <c r="M356" i="23"/>
  <c r="M354" i="23" s="1"/>
  <c r="M367" i="23"/>
  <c r="M365" i="23" s="1"/>
  <c r="M379" i="23"/>
  <c r="M377" i="23" s="1"/>
  <c r="G356" i="23"/>
  <c r="G354" i="23" s="1"/>
  <c r="G367" i="23"/>
  <c r="G365" i="23" s="1"/>
  <c r="G379" i="23"/>
  <c r="G377" i="23" s="1"/>
  <c r="G383" i="23"/>
  <c r="G381" i="23" s="1"/>
  <c r="G360" i="23"/>
  <c r="G358" i="23" s="1"/>
  <c r="G372" i="23"/>
  <c r="G370" i="23" s="1"/>
  <c r="H229" i="23"/>
  <c r="H257" i="23" s="1"/>
  <c r="I360" i="23"/>
  <c r="I358" i="23" s="1"/>
  <c r="I372" i="23"/>
  <c r="I370" i="23" s="1"/>
  <c r="I383" i="23"/>
  <c r="I381" i="23" s="1"/>
  <c r="I356" i="23" l="1"/>
  <c r="I354" i="23" s="1"/>
  <c r="I353" i="23" s="1"/>
  <c r="I379" i="23"/>
  <c r="I377" i="23" s="1"/>
  <c r="I376" i="23" s="1"/>
  <c r="F360" i="23"/>
  <c r="F358" i="23" s="1"/>
  <c r="F353" i="23" s="1"/>
  <c r="F372" i="23"/>
  <c r="F370" i="23" s="1"/>
  <c r="F364" i="23" s="1"/>
  <c r="I364" i="23"/>
  <c r="I13" i="23" s="1"/>
  <c r="J259" i="23"/>
  <c r="J367" i="23" s="1"/>
  <c r="J365" i="23" s="1"/>
  <c r="M383" i="23"/>
  <c r="M381" i="23" s="1"/>
  <c r="M376" i="23" s="1"/>
  <c r="G364" i="23"/>
  <c r="M372" i="23"/>
  <c r="M370" i="23" s="1"/>
  <c r="M364" i="23" s="1"/>
  <c r="M13" i="23" s="1"/>
  <c r="L258" i="23"/>
  <c r="L372" i="23" s="1"/>
  <c r="L370" i="23" s="1"/>
  <c r="M353" i="23"/>
  <c r="G376" i="23"/>
  <c r="G353" i="23"/>
  <c r="L356" i="23"/>
  <c r="L354" i="23" s="1"/>
  <c r="L367" i="23"/>
  <c r="L365" i="23" s="1"/>
  <c r="L379" i="23"/>
  <c r="L377" i="23" s="1"/>
  <c r="H258" i="23"/>
  <c r="H259" i="23"/>
  <c r="K360" i="23"/>
  <c r="K358" i="23" s="1"/>
  <c r="K372" i="23"/>
  <c r="K370" i="23" s="1"/>
  <c r="K383" i="23"/>
  <c r="K381" i="23" s="1"/>
  <c r="J360" i="23"/>
  <c r="J358" i="23" s="1"/>
  <c r="J372" i="23"/>
  <c r="J370" i="23" s="1"/>
  <c r="J383" i="23"/>
  <c r="J381" i="23" s="1"/>
  <c r="F376" i="23"/>
  <c r="K367" i="23"/>
  <c r="K365" i="23" s="1"/>
  <c r="K379" i="23"/>
  <c r="K377" i="23" s="1"/>
  <c r="K356" i="23"/>
  <c r="K354" i="23" s="1"/>
  <c r="J356" i="23" l="1"/>
  <c r="J354" i="23" s="1"/>
  <c r="J353" i="23" s="1"/>
  <c r="J379" i="23"/>
  <c r="J377" i="23" s="1"/>
  <c r="J376" i="23" s="1"/>
  <c r="L383" i="23"/>
  <c r="L381" i="23" s="1"/>
  <c r="L376" i="23" s="1"/>
  <c r="L360" i="23"/>
  <c r="L358" i="23" s="1"/>
  <c r="L353" i="23" s="1"/>
  <c r="G13" i="23"/>
  <c r="K364" i="23"/>
  <c r="L364" i="23"/>
  <c r="K353" i="23"/>
  <c r="F13" i="23"/>
  <c r="J364" i="23"/>
  <c r="J13" i="23" s="1"/>
  <c r="K376" i="23"/>
  <c r="H367" i="23"/>
  <c r="H365" i="23" s="1"/>
  <c r="H379" i="23"/>
  <c r="H377" i="23" s="1"/>
  <c r="H356" i="23"/>
  <c r="H354" i="23" s="1"/>
  <c r="H383" i="23"/>
  <c r="H381" i="23" s="1"/>
  <c r="H360" i="23"/>
  <c r="H358" i="23" s="1"/>
  <c r="H372" i="23"/>
  <c r="H370" i="23" s="1"/>
  <c r="K13" i="23" l="1"/>
  <c r="L13" i="23"/>
  <c r="H353" i="23"/>
  <c r="H364" i="23"/>
  <c r="H13" i="23" s="1"/>
  <c r="H376" i="23"/>
  <c r="AT105" i="26" l="1"/>
  <c r="AS105" i="26"/>
  <c r="AS104" i="26"/>
  <c r="AR104" i="26"/>
  <c r="AP104" i="26"/>
  <c r="AR105" i="26"/>
  <c r="AP105" i="26"/>
  <c r="AT104" i="26"/>
  <c r="AW75" i="26"/>
  <c r="AV75" i="26"/>
  <c r="AU75" i="26"/>
  <c r="AT75" i="26"/>
  <c r="AS75" i="26"/>
  <c r="AR75" i="26"/>
  <c r="AQ75" i="26"/>
  <c r="AP75" i="26"/>
  <c r="AT74" i="26"/>
  <c r="AS74" i="26"/>
  <c r="AR74" i="26"/>
  <c r="AP74" i="26"/>
  <c r="AT73" i="26"/>
  <c r="AS73" i="26"/>
  <c r="AR73" i="26"/>
  <c r="AP73" i="26"/>
  <c r="AK53" i="26"/>
  <c r="AJ53" i="26"/>
  <c r="AK52" i="26"/>
  <c r="AL41" i="26"/>
  <c r="AH41" i="26"/>
  <c r="AJ38" i="26"/>
  <c r="AJ42" i="26" s="1"/>
  <c r="AJ36" i="26"/>
  <c r="AJ44" i="26" s="1"/>
  <c r="AL34" i="26"/>
  <c r="AH34" i="26"/>
  <c r="AJ32" i="26"/>
  <c r="AJ48" i="26" s="1"/>
  <c r="AJ30" i="26"/>
  <c r="AJ50" i="26" s="1"/>
  <c r="AK29" i="26"/>
  <c r="AK30" i="26" s="1"/>
  <c r="AJ28" i="26"/>
  <c r="AJ52" i="26" s="1"/>
  <c r="AK83" i="26"/>
  <c r="AJ83" i="26"/>
  <c r="AK82" i="26"/>
  <c r="AL71" i="26"/>
  <c r="AH71" i="26"/>
  <c r="AL64" i="26"/>
  <c r="AH64" i="26"/>
  <c r="AP29" i="26"/>
  <c r="AQ29" i="26"/>
  <c r="AR29" i="26"/>
  <c r="AS29" i="26"/>
  <c r="AT29" i="26"/>
  <c r="AU29" i="26"/>
  <c r="AV29" i="26"/>
  <c r="AW29" i="26"/>
  <c r="AJ33" i="26" l="1"/>
  <c r="AJ47" i="26" s="1"/>
  <c r="AJ39" i="26"/>
  <c r="AJ41" i="26" s="1"/>
  <c r="AJ31" i="26"/>
  <c r="AJ49" i="26" s="1"/>
  <c r="AJ37" i="26"/>
  <c r="AJ43" i="26" s="1"/>
  <c r="AJ29" i="26"/>
  <c r="AJ51" i="26" s="1"/>
  <c r="AK51" i="26"/>
  <c r="AK50" i="26"/>
  <c r="AK31" i="26"/>
  <c r="AO99" i="26"/>
  <c r="AK32" i="26" l="1"/>
  <c r="AK49" i="26"/>
  <c r="AO69" i="26"/>
  <c r="AK48" i="26" l="1"/>
  <c r="AK33" i="26"/>
  <c r="AW36" i="26"/>
  <c r="AW33" i="26"/>
  <c r="AW31" i="26"/>
  <c r="AW30" i="26" s="1"/>
  <c r="AW27" i="26"/>
  <c r="AW26" i="26" s="1"/>
  <c r="AV36" i="26"/>
  <c r="AV33" i="26"/>
  <c r="AV31" i="26"/>
  <c r="AV30" i="26" s="1"/>
  <c r="AV27" i="26"/>
  <c r="AV26" i="26" s="1"/>
  <c r="AU36" i="26"/>
  <c r="AU33" i="26"/>
  <c r="AU31" i="26"/>
  <c r="AU30" i="26" s="1"/>
  <c r="AU27" i="26"/>
  <c r="AU26" i="26" s="1"/>
  <c r="AK113" i="26"/>
  <c r="AJ113" i="26"/>
  <c r="AK112" i="26"/>
  <c r="AL101" i="26"/>
  <c r="AH101" i="26"/>
  <c r="AL94" i="26"/>
  <c r="AH94" i="26"/>
  <c r="AO56" i="26"/>
  <c r="AO60" i="26"/>
  <c r="AT36" i="26"/>
  <c r="AT33" i="26"/>
  <c r="AT31" i="26"/>
  <c r="AT30" i="26" s="1"/>
  <c r="AT27" i="26"/>
  <c r="AT26" i="26" s="1"/>
  <c r="AS36" i="26"/>
  <c r="AS33" i="26"/>
  <c r="AS31" i="26"/>
  <c r="AS30" i="26" s="1"/>
  <c r="AS27" i="26"/>
  <c r="AS26" i="26" s="1"/>
  <c r="AR33" i="26"/>
  <c r="AR36" i="26"/>
  <c r="AR31" i="26"/>
  <c r="AR30" i="26" s="1"/>
  <c r="AR27" i="26"/>
  <c r="AR26" i="26" s="1"/>
  <c r="AQ36" i="26"/>
  <c r="AQ33" i="26"/>
  <c r="AQ31" i="26"/>
  <c r="AQ30" i="26" s="1"/>
  <c r="AQ27" i="26"/>
  <c r="AQ26" i="26" s="1"/>
  <c r="AP36" i="26"/>
  <c r="AP33" i="26"/>
  <c r="AP31" i="26"/>
  <c r="AP30" i="26" s="1"/>
  <c r="AP27" i="26"/>
  <c r="AP26" i="26" s="1"/>
  <c r="AO36" i="26"/>
  <c r="AO33" i="26"/>
  <c r="AO31" i="26"/>
  <c r="AO29" i="26"/>
  <c r="AO27" i="26"/>
  <c r="AO26" i="26" s="1"/>
  <c r="AO57" i="26"/>
  <c r="AO61" i="26"/>
  <c r="AO64" i="26"/>
  <c r="AO65" i="26"/>
  <c r="AO66" i="26"/>
  <c r="AO67" i="26"/>
  <c r="AO68" i="26"/>
  <c r="AO62" i="26"/>
  <c r="AO58" i="26"/>
  <c r="AP71" i="26" l="1"/>
  <c r="AQ70" i="26"/>
  <c r="AT70" i="26"/>
  <c r="AR70" i="26"/>
  <c r="AS70" i="26"/>
  <c r="AK34" i="26"/>
  <c r="AK47" i="26"/>
  <c r="AS65" i="26"/>
  <c r="AS93" i="26"/>
  <c r="AS63" i="26"/>
  <c r="AU63" i="26"/>
  <c r="AP66" i="26"/>
  <c r="AP93" i="26"/>
  <c r="AP64" i="26"/>
  <c r="AQ66" i="26"/>
  <c r="AQ93" i="26"/>
  <c r="AR65" i="26"/>
  <c r="AT65" i="26"/>
  <c r="AS90" i="26"/>
  <c r="AS60" i="26"/>
  <c r="AW60" i="26"/>
  <c r="AW90" i="26"/>
  <c r="AQ91" i="26"/>
  <c r="AQ61" i="26"/>
  <c r="AQ90" i="26"/>
  <c r="AQ60" i="26"/>
  <c r="AP91" i="26"/>
  <c r="AP61" i="26"/>
  <c r="AP60" i="26"/>
  <c r="AP90" i="26"/>
  <c r="AV90" i="26"/>
  <c r="AV60" i="26"/>
  <c r="AU90" i="26"/>
  <c r="AU60" i="26"/>
  <c r="AR90" i="26"/>
  <c r="AR60" i="26"/>
  <c r="AT90" i="26"/>
  <c r="AT60" i="26"/>
  <c r="AP57" i="26"/>
  <c r="AP86" i="26"/>
  <c r="AP87" i="26"/>
  <c r="AR86" i="26"/>
  <c r="AR56" i="26"/>
  <c r="AT86" i="26"/>
  <c r="AT56" i="26"/>
  <c r="AQ86" i="26"/>
  <c r="AQ56" i="26"/>
  <c r="AQ87" i="26"/>
  <c r="AQ57" i="26"/>
  <c r="AS86" i="26"/>
  <c r="AS56" i="26"/>
  <c r="AV56" i="26"/>
  <c r="AV86" i="26"/>
  <c r="AW56" i="26"/>
  <c r="AW86" i="26"/>
  <c r="AU56" i="26"/>
  <c r="AU86" i="26"/>
  <c r="AU67" i="26"/>
  <c r="AW67" i="26"/>
  <c r="AW66" i="26"/>
  <c r="AW68" i="26"/>
  <c r="AW65" i="26"/>
  <c r="AU57" i="26"/>
  <c r="AW57" i="26"/>
  <c r="AW61" i="26"/>
  <c r="AW64" i="26"/>
  <c r="AU66" i="26"/>
  <c r="AU61" i="26"/>
  <c r="AU64" i="26"/>
  <c r="AS61" i="26"/>
  <c r="AS57" i="26"/>
  <c r="AV57" i="26"/>
  <c r="AU68" i="26"/>
  <c r="AT57" i="26"/>
  <c r="AV61" i="26"/>
  <c r="AV64" i="26"/>
  <c r="AV65" i="26"/>
  <c r="AV66" i="26"/>
  <c r="AV67" i="26"/>
  <c r="AU65" i="26"/>
  <c r="AV68" i="26"/>
  <c r="AG29" i="26" a="1"/>
  <c r="AG29" i="26" s="1"/>
  <c r="AH28" i="26" s="1"/>
  <c r="AT61" i="26"/>
  <c r="AG36" i="26" a="1"/>
  <c r="AG36" i="26" s="1"/>
  <c r="AJ34" i="26" s="1"/>
  <c r="AR57" i="26"/>
  <c r="AG4" i="26" a="1"/>
  <c r="AG4" i="26" s="1"/>
  <c r="AR61" i="26"/>
  <c r="AG33" i="26" a="1"/>
  <c r="AG33" i="26" s="1"/>
  <c r="AL28" i="26" s="1"/>
  <c r="AO59" i="26"/>
  <c r="AO63" i="26"/>
  <c r="AG7" i="26" a="1"/>
  <c r="AG7" i="26" s="1"/>
  <c r="AG5" i="26" a="1"/>
  <c r="AG5" i="26" s="1"/>
  <c r="AG11" i="26" a="1"/>
  <c r="AG11" i="26" s="1"/>
  <c r="AO30" i="26"/>
  <c r="AO86" i="26"/>
  <c r="AO96" i="26"/>
  <c r="AO90" i="26"/>
  <c r="AG57" i="26" l="1" a="1"/>
  <c r="AG57" i="26" s="1"/>
  <c r="AG60" i="26" a="1"/>
  <c r="AG60" i="26" s="1"/>
  <c r="AG61" i="26" a="1"/>
  <c r="AG61" i="26" s="1"/>
  <c r="AV42" i="26"/>
  <c r="AW42" i="26"/>
  <c r="AQ42" i="26"/>
  <c r="AT42" i="26"/>
  <c r="AR42" i="26"/>
  <c r="AS42" i="26"/>
  <c r="AU42" i="26"/>
  <c r="AP42" i="26"/>
  <c r="AQ92" i="26"/>
  <c r="AS92" i="26"/>
  <c r="AS62" i="26"/>
  <c r="AP65" i="26"/>
  <c r="AT66" i="26"/>
  <c r="AS66" i="26"/>
  <c r="AR66" i="26"/>
  <c r="AG66" i="26" s="1" a="1"/>
  <c r="AG66" i="26" s="1"/>
  <c r="AJ64" i="26" s="1"/>
  <c r="AJ65" i="26" s="1"/>
  <c r="AJ75" i="26" s="1"/>
  <c r="AQ67" i="26"/>
  <c r="AT64" i="26"/>
  <c r="AR64" i="26"/>
  <c r="AP92" i="26"/>
  <c r="AT69" i="26"/>
  <c r="AR58" i="26"/>
  <c r="AR59" i="26"/>
  <c r="AQ62" i="26"/>
  <c r="AQ63" i="26"/>
  <c r="AS99" i="26"/>
  <c r="AT68" i="26"/>
  <c r="AP69" i="26"/>
  <c r="AS64" i="26"/>
  <c r="AT58" i="26"/>
  <c r="AT59" i="26"/>
  <c r="AS67" i="26"/>
  <c r="AS72" i="26"/>
  <c r="AR98" i="26"/>
  <c r="AR69" i="26"/>
  <c r="AP88" i="26"/>
  <c r="AP89" i="26"/>
  <c r="AP99" i="26"/>
  <c r="AU92" i="26"/>
  <c r="AU93" i="26"/>
  <c r="AS68" i="26"/>
  <c r="AP56" i="26"/>
  <c r="AG56" i="26" s="1" a="1"/>
  <c r="AG56" i="26" s="1"/>
  <c r="AT88" i="26"/>
  <c r="AT89" i="26"/>
  <c r="AR92" i="26"/>
  <c r="AR93" i="26"/>
  <c r="AQ88" i="26"/>
  <c r="AQ89" i="26"/>
  <c r="AP58" i="26"/>
  <c r="AP59" i="26"/>
  <c r="AP62" i="26"/>
  <c r="AP63" i="26"/>
  <c r="AQ71" i="26"/>
  <c r="AT98" i="26"/>
  <c r="AR68" i="26"/>
  <c r="AP98" i="26"/>
  <c r="AQ58" i="26"/>
  <c r="AQ59" i="26"/>
  <c r="AU69" i="26"/>
  <c r="AT67" i="26"/>
  <c r="AR62" i="26"/>
  <c r="AR63" i="26"/>
  <c r="AV69" i="26"/>
  <c r="AU88" i="26"/>
  <c r="AU89" i="26"/>
  <c r="AW69" i="26"/>
  <c r="AT99" i="26"/>
  <c r="AR99" i="26"/>
  <c r="AQ64" i="26"/>
  <c r="AP68" i="26"/>
  <c r="AR88" i="26"/>
  <c r="AR89" i="26"/>
  <c r="AS69" i="26"/>
  <c r="AQ74" i="26"/>
  <c r="AQ68" i="26"/>
  <c r="AP67" i="26"/>
  <c r="AT72" i="26"/>
  <c r="AR67" i="26"/>
  <c r="AQ69" i="26"/>
  <c r="AU58" i="26"/>
  <c r="AU59" i="26"/>
  <c r="AS98" i="26"/>
  <c r="AL33" i="26"/>
  <c r="AL35" i="26" s="1"/>
  <c r="AL40" i="26"/>
  <c r="AL29" i="26"/>
  <c r="AJ35" i="26"/>
  <c r="AJ45" i="26" s="1"/>
  <c r="AJ46" i="26"/>
  <c r="AH33" i="26"/>
  <c r="AH35" i="26" s="1"/>
  <c r="AH40" i="26"/>
  <c r="AH29" i="26"/>
  <c r="AK46" i="26"/>
  <c r="AG26" i="26" a="1"/>
  <c r="AG26" i="26" s="1"/>
  <c r="AG31" i="26" a="1"/>
  <c r="AG31" i="26" s="1"/>
  <c r="AG14" i="26" a="1"/>
  <c r="AG14" i="26" s="1"/>
  <c r="AG27" i="26" a="1"/>
  <c r="AG27" i="26" s="1"/>
  <c r="AG90" i="26" a="1"/>
  <c r="AG90" i="26" s="1"/>
  <c r="AG9" i="26" a="1"/>
  <c r="AG9" i="26" s="1"/>
  <c r="AG86" i="26" a="1"/>
  <c r="AG86" i="26" s="1"/>
  <c r="AO98" i="26"/>
  <c r="AO88" i="26"/>
  <c r="AO89" i="26"/>
  <c r="AO92" i="26"/>
  <c r="AO93" i="26"/>
  <c r="AG30" i="26" a="1"/>
  <c r="AG30" i="26" s="1"/>
  <c r="AG8" i="26" a="1"/>
  <c r="AG8" i="26" s="1"/>
  <c r="AI5" i="26" s="1"/>
  <c r="AI6" i="26" s="1"/>
  <c r="AI10" i="26" s="1"/>
  <c r="AG64" i="26" l="1" a="1"/>
  <c r="AG64" i="26" s="1"/>
  <c r="AJ68" i="26" s="1"/>
  <c r="AJ69" i="26" s="1"/>
  <c r="AJ71" i="26" s="1"/>
  <c r="AM57" i="26"/>
  <c r="AM58" i="26" s="1"/>
  <c r="AM70" i="26" s="1"/>
  <c r="AG69" i="26" a="1"/>
  <c r="AG69" i="26" s="1"/>
  <c r="AJ58" i="26" s="1"/>
  <c r="AJ82" i="26" s="1"/>
  <c r="AJ76" i="26"/>
  <c r="AG67" i="26" a="1"/>
  <c r="AG67" i="26" s="1"/>
  <c r="AJ62" i="26" s="1"/>
  <c r="AJ78" i="26" s="1"/>
  <c r="AG68" i="26" a="1"/>
  <c r="AG68" i="26" s="1"/>
  <c r="AJ60" i="26" s="1"/>
  <c r="AJ61" i="26" s="1"/>
  <c r="AJ79" i="26" s="1"/>
  <c r="AQ73" i="26"/>
  <c r="AV88" i="26"/>
  <c r="AV89" i="26"/>
  <c r="AV58" i="26"/>
  <c r="AV59" i="26"/>
  <c r="AV70" i="26"/>
  <c r="AU71" i="26"/>
  <c r="AW70" i="26"/>
  <c r="AW58" i="26"/>
  <c r="AG58" i="26" s="1" a="1"/>
  <c r="AG58" i="26" s="1"/>
  <c r="AW59" i="26"/>
  <c r="AG59" i="26" s="1" a="1"/>
  <c r="AG59" i="26" s="1"/>
  <c r="AH58" i="26" s="1"/>
  <c r="AH70" i="26" s="1"/>
  <c r="AT63" i="26"/>
  <c r="AV71" i="26"/>
  <c r="AW88" i="26"/>
  <c r="AW89" i="26"/>
  <c r="AG89" i="26" s="1" a="1"/>
  <c r="AG89" i="26" s="1"/>
  <c r="AH88" i="26" s="1"/>
  <c r="AR72" i="26"/>
  <c r="AV73" i="26"/>
  <c r="AU72" i="26"/>
  <c r="AW74" i="26"/>
  <c r="AS58" i="26"/>
  <c r="AS59" i="26"/>
  <c r="AT92" i="26"/>
  <c r="AT93" i="26"/>
  <c r="AS88" i="26"/>
  <c r="AS89" i="26"/>
  <c r="AV63" i="26"/>
  <c r="AS71" i="26"/>
  <c r="AU70" i="26"/>
  <c r="AW73" i="26"/>
  <c r="AV72" i="26"/>
  <c r="AU73" i="26"/>
  <c r="AV92" i="26"/>
  <c r="AV93" i="26"/>
  <c r="AP70" i="26"/>
  <c r="AU62" i="26"/>
  <c r="AV74" i="26"/>
  <c r="AU74" i="26"/>
  <c r="AW72" i="26"/>
  <c r="AW63" i="26"/>
  <c r="AG63" i="26" s="1" a="1"/>
  <c r="AG63" i="26" s="1"/>
  <c r="AL58" i="26" s="1"/>
  <c r="AL70" i="26" s="1"/>
  <c r="AW92" i="26"/>
  <c r="AG92" i="26" s="1" a="1"/>
  <c r="AG92" i="26" s="1"/>
  <c r="AW93" i="26"/>
  <c r="AG93" i="26" s="1" a="1"/>
  <c r="AG93" i="26" s="1"/>
  <c r="AL88" i="26" s="1"/>
  <c r="AQ65" i="26"/>
  <c r="AG65" i="26" s="1" a="1"/>
  <c r="AG65" i="26" s="1"/>
  <c r="AJ66" i="26" s="1"/>
  <c r="AW71" i="26"/>
  <c r="AT71" i="26"/>
  <c r="AH32" i="26"/>
  <c r="AH36" i="26" s="1"/>
  <c r="AH30" i="26"/>
  <c r="AH39" i="26"/>
  <c r="AM27" i="26"/>
  <c r="AL32" i="26"/>
  <c r="AL36" i="26" s="1"/>
  <c r="AL30" i="26"/>
  <c r="AL39" i="26"/>
  <c r="AI9" i="26"/>
  <c r="AJ72" i="26" l="1"/>
  <c r="AM71" i="26"/>
  <c r="AJ59" i="26"/>
  <c r="AJ81" i="26" s="1"/>
  <c r="AJ63" i="26"/>
  <c r="AJ77" i="26" s="1"/>
  <c r="AW100" i="26"/>
  <c r="AV100" i="26"/>
  <c r="AJ80" i="26"/>
  <c r="AL63" i="26"/>
  <c r="AL65" i="26" s="1"/>
  <c r="AL59" i="26"/>
  <c r="AL69" i="26" s="1"/>
  <c r="AH63" i="26"/>
  <c r="AH65" i="26" s="1"/>
  <c r="AH59" i="26"/>
  <c r="AH62" i="26" s="1"/>
  <c r="AH66" i="26" s="1"/>
  <c r="AJ67" i="26"/>
  <c r="AJ73" i="26" s="1"/>
  <c r="AJ74" i="26"/>
  <c r="AQ72" i="26"/>
  <c r="AP72" i="26"/>
  <c r="AR71" i="26"/>
  <c r="AW62" i="26"/>
  <c r="AG62" i="26" s="1" a="1"/>
  <c r="AG62" i="26" s="1"/>
  <c r="AM59" i="26" s="1"/>
  <c r="AM60" i="26" s="1"/>
  <c r="AM68" i="26" s="1"/>
  <c r="AT62" i="26"/>
  <c r="AV62" i="26"/>
  <c r="AL38" i="26"/>
  <c r="AL31" i="26"/>
  <c r="AL37" i="26" s="1"/>
  <c r="AM28" i="26"/>
  <c r="AM41" i="26"/>
  <c r="AH38" i="26"/>
  <c r="AH31" i="26"/>
  <c r="AH37" i="26" s="1"/>
  <c r="AG88" i="26" a="1"/>
  <c r="AG88" i="26" s="1"/>
  <c r="AL93" i="26"/>
  <c r="AL95" i="26" s="1"/>
  <c r="AL100" i="26"/>
  <c r="AL89" i="26"/>
  <c r="AH100" i="26"/>
  <c r="AH89" i="26"/>
  <c r="AH93" i="26"/>
  <c r="AH95" i="26" s="1"/>
  <c r="AU101" i="26" l="1"/>
  <c r="AV101" i="26"/>
  <c r="AP97" i="26"/>
  <c r="AQ99" i="26"/>
  <c r="AU100" i="26"/>
  <c r="AU102" i="26"/>
  <c r="AW102" i="26"/>
  <c r="AM61" i="26"/>
  <c r="AM67" i="26" s="1"/>
  <c r="AM69" i="26"/>
  <c r="AL60" i="26"/>
  <c r="AL68" i="26" s="1"/>
  <c r="AL62" i="26"/>
  <c r="AL66" i="26" s="1"/>
  <c r="AH69" i="26"/>
  <c r="AH60" i="26"/>
  <c r="AH61" i="26" s="1"/>
  <c r="AH67" i="26" s="1"/>
  <c r="AP102" i="26"/>
  <c r="AS87" i="26"/>
  <c r="AM40" i="26"/>
  <c r="AM29" i="26"/>
  <c r="AH92" i="26"/>
  <c r="AH96" i="26" s="1"/>
  <c r="AH99" i="26"/>
  <c r="AH90" i="26"/>
  <c r="AL90" i="26"/>
  <c r="AL92" i="26"/>
  <c r="AL96" i="26" s="1"/>
  <c r="AL99" i="26"/>
  <c r="AP101" i="26" l="1"/>
  <c r="AQ101" i="26"/>
  <c r="AU103" i="26"/>
  <c r="AP103" i="26"/>
  <c r="AW103" i="26"/>
  <c r="AV103" i="26"/>
  <c r="AP100" i="26"/>
  <c r="AQ100" i="26"/>
  <c r="AS91" i="26"/>
  <c r="AW101" i="26"/>
  <c r="AV102" i="26"/>
  <c r="AM62" i="26"/>
  <c r="AM63" i="26" s="1"/>
  <c r="AS101" i="26"/>
  <c r="AL61" i="26"/>
  <c r="AL67" i="26" s="1"/>
  <c r="AH68" i="26"/>
  <c r="AR97" i="26"/>
  <c r="AT91" i="26"/>
  <c r="AR87" i="26"/>
  <c r="AR100" i="26"/>
  <c r="AR96" i="26"/>
  <c r="AR103" i="26"/>
  <c r="AS97" i="26"/>
  <c r="AS100" i="26"/>
  <c r="AT100" i="26"/>
  <c r="AR91" i="26"/>
  <c r="AM39" i="26"/>
  <c r="AM30" i="26"/>
  <c r="AL91" i="26"/>
  <c r="AL98" i="26"/>
  <c r="AH91" i="26"/>
  <c r="AH98" i="26"/>
  <c r="AR101" i="26" l="1"/>
  <c r="AT97" i="26"/>
  <c r="AW105" i="26"/>
  <c r="AV105" i="26"/>
  <c r="AU104" i="26"/>
  <c r="AU105" i="26"/>
  <c r="AM66" i="26"/>
  <c r="AT101" i="26"/>
  <c r="AV87" i="26"/>
  <c r="AU87" i="26"/>
  <c r="AV91" i="26"/>
  <c r="AW87" i="26"/>
  <c r="AT87" i="26"/>
  <c r="AU91" i="26"/>
  <c r="AW91" i="26"/>
  <c r="AM38" i="26"/>
  <c r="AM31" i="26"/>
  <c r="AM65" i="26"/>
  <c r="AM64" i="26"/>
  <c r="AH97" i="26"/>
  <c r="AL97" i="26"/>
  <c r="AQ102" i="26" l="1"/>
  <c r="AQ103" i="26"/>
  <c r="AT102" i="26"/>
  <c r="AV104" i="26"/>
  <c r="AW104" i="26"/>
  <c r="AQ104" i="26"/>
  <c r="AQ105" i="26"/>
  <c r="AR102" i="26"/>
  <c r="AM32" i="26"/>
  <c r="AM37" i="26"/>
  <c r="AT103" i="26" l="1"/>
  <c r="AS102" i="26"/>
  <c r="AS103" i="26"/>
  <c r="AM33" i="26"/>
  <c r="AM36" i="26"/>
  <c r="AM35" i="26" l="1"/>
  <c r="AM34" i="26"/>
  <c r="AS96" i="26" l="1"/>
  <c r="AT96" i="26" l="1"/>
  <c r="AS94" i="26"/>
  <c r="AS95" i="26"/>
  <c r="AO42" i="26"/>
  <c r="AG42" i="26" s="1" a="1"/>
  <c r="AG42" i="26" s="1"/>
  <c r="AK35" i="26" s="1"/>
  <c r="AO72" i="26"/>
  <c r="AG72" i="26" s="1" a="1"/>
  <c r="AG72" i="26" s="1"/>
  <c r="AQ98" i="26" l="1"/>
  <c r="AT94" i="26"/>
  <c r="AT95" i="26"/>
  <c r="AO75" i="26"/>
  <c r="AG75" i="26" s="1" a="1"/>
  <c r="AG75" i="26" s="1"/>
  <c r="AK59" i="26" s="1"/>
  <c r="AK81" i="26" s="1"/>
  <c r="AK45" i="26"/>
  <c r="AK36" i="26"/>
  <c r="AO105" i="26"/>
  <c r="AG105" i="26" s="1" a="1"/>
  <c r="AG105" i="26" s="1"/>
  <c r="AK89" i="26" s="1"/>
  <c r="AK90" i="26" s="1"/>
  <c r="AO74" i="26"/>
  <c r="AG74" i="26" s="1" a="1"/>
  <c r="AG74" i="26" s="1"/>
  <c r="AO103" i="26"/>
  <c r="AG103" i="26" s="1" a="1"/>
  <c r="AG103" i="26" s="1"/>
  <c r="AO73" i="26"/>
  <c r="AG73" i="26" s="1" a="1"/>
  <c r="AG73" i="26" s="1"/>
  <c r="AO71" i="26"/>
  <c r="AG71" i="26" s="1" a="1"/>
  <c r="AG71" i="26" s="1"/>
  <c r="AG20" i="26" a="1"/>
  <c r="AG20" i="26" s="1"/>
  <c r="AK4" i="26" s="1"/>
  <c r="AH6" i="26" s="1"/>
  <c r="AH7" i="26" s="1"/>
  <c r="AH8" i="26" s="1"/>
  <c r="AH9" i="26" s="1"/>
  <c r="AO70" i="26"/>
  <c r="AG70" i="26" s="1" a="1"/>
  <c r="AG70" i="26" s="1"/>
  <c r="AQ95" i="26" l="1"/>
  <c r="AQ94" i="26"/>
  <c r="AQ97" i="26"/>
  <c r="AQ96" i="26"/>
  <c r="AR95" i="26"/>
  <c r="AR94" i="26"/>
  <c r="AK60" i="26"/>
  <c r="AK80" i="26" s="1"/>
  <c r="AK44" i="26"/>
  <c r="AK37" i="26"/>
  <c r="AK110" i="26"/>
  <c r="AO104" i="26"/>
  <c r="AG104" i="26" s="1" a="1"/>
  <c r="AG104" i="26" s="1"/>
  <c r="AK91" i="26" s="1"/>
  <c r="AI7" i="26"/>
  <c r="AI8" i="26" s="1"/>
  <c r="AO102" i="26"/>
  <c r="AG102" i="26" s="1" a="1"/>
  <c r="AG102" i="26" s="1"/>
  <c r="AK61" i="26" l="1"/>
  <c r="AK43" i="26"/>
  <c r="AK38" i="26"/>
  <c r="AK109" i="26"/>
  <c r="AK92" i="26"/>
  <c r="AK111" i="26"/>
  <c r="AK62" i="26" l="1"/>
  <c r="AK79" i="26"/>
  <c r="AK42" i="26"/>
  <c r="AK39" i="26"/>
  <c r="AK108" i="26"/>
  <c r="AK93" i="26"/>
  <c r="AK63" i="26" l="1"/>
  <c r="AK78" i="26"/>
  <c r="AK40" i="26"/>
  <c r="AK41" i="26"/>
  <c r="AI27" i="26" s="1"/>
  <c r="AK107" i="26"/>
  <c r="AK94" i="26"/>
  <c r="AK64" i="26" l="1"/>
  <c r="AK77" i="26"/>
  <c r="AI28" i="26"/>
  <c r="AI41" i="26"/>
  <c r="AK106" i="26"/>
  <c r="AK95" i="26"/>
  <c r="AK76" i="26" l="1"/>
  <c r="AK65" i="26"/>
  <c r="AI29" i="26"/>
  <c r="AI40" i="26"/>
  <c r="AK96" i="26"/>
  <c r="AK105" i="26"/>
  <c r="AK66" i="26" l="1"/>
  <c r="AK75" i="26"/>
  <c r="AI30" i="26"/>
  <c r="AI39" i="26"/>
  <c r="AK104" i="26"/>
  <c r="AK67" i="26" l="1"/>
  <c r="AK74" i="26"/>
  <c r="AI38" i="26"/>
  <c r="AI31" i="26"/>
  <c r="AK68" i="26" l="1"/>
  <c r="AK73" i="26"/>
  <c r="AI32" i="26"/>
  <c r="AI37" i="26"/>
  <c r="AK69" i="26" l="1"/>
  <c r="AK72" i="26"/>
  <c r="AI36" i="26"/>
  <c r="AI33" i="26"/>
  <c r="AK71" i="26" l="1"/>
  <c r="AI57" i="26" s="1"/>
  <c r="AK70" i="26"/>
  <c r="AI34" i="26"/>
  <c r="AI35" i="26"/>
  <c r="AI71" i="26" l="1"/>
  <c r="AI58" i="26"/>
  <c r="AI70" i="26" s="1"/>
  <c r="AI59" i="26" l="1"/>
  <c r="AI60" i="26" l="1"/>
  <c r="AI69" i="26"/>
  <c r="AI68" i="26" l="1"/>
  <c r="AI61" i="26"/>
  <c r="AO95" i="26"/>
  <c r="AO97" i="26"/>
  <c r="AI67" i="26" l="1"/>
  <c r="AI62" i="26"/>
  <c r="AO91" i="26"/>
  <c r="AG91" i="26" s="1" a="1"/>
  <c r="AG91" i="26" s="1"/>
  <c r="AO87" i="26"/>
  <c r="AG87" i="26" s="1" a="1"/>
  <c r="AG87" i="26" s="1"/>
  <c r="AI66" i="26" l="1"/>
  <c r="AI63" i="26"/>
  <c r="AM87" i="26"/>
  <c r="AI64" i="26" l="1"/>
  <c r="AI65" i="26"/>
  <c r="AM101" i="26"/>
  <c r="AM88" i="26"/>
  <c r="AM89" i="26" l="1"/>
  <c r="AM100" i="26"/>
  <c r="AM90" i="26" l="1"/>
  <c r="AM99" i="26"/>
  <c r="AM98" i="26" l="1"/>
  <c r="AM91" i="26"/>
  <c r="AM92" i="26" l="1"/>
  <c r="AM97" i="26"/>
  <c r="AM96" i="26" l="1"/>
  <c r="AM93" i="26"/>
  <c r="AM94" i="26" l="1"/>
  <c r="AM95" i="26"/>
  <c r="AV99" i="26" l="1"/>
  <c r="AW99" i="26"/>
  <c r="AG99" i="26" s="1" a="1"/>
  <c r="AG99" i="26" s="1"/>
  <c r="AJ88" i="26" s="1"/>
  <c r="AU99" i="26"/>
  <c r="AJ89" i="26" l="1"/>
  <c r="AJ111" i="26" s="1"/>
  <c r="AJ112" i="26"/>
  <c r="AU97" i="26" l="1"/>
  <c r="AW97" i="26" l="1"/>
  <c r="AG97" i="26" s="1" a="1"/>
  <c r="AG97" i="26" s="1"/>
  <c r="AJ92" i="26" s="1"/>
  <c r="AW98" i="26"/>
  <c r="AG98" i="26" s="1" a="1"/>
  <c r="AG98" i="26" s="1"/>
  <c r="AJ90" i="26" s="1"/>
  <c r="AV97" i="26"/>
  <c r="AU98" i="26"/>
  <c r="AW95" i="26"/>
  <c r="AW96" i="26"/>
  <c r="AW94" i="26"/>
  <c r="AU96" i="26"/>
  <c r="AU94" i="26"/>
  <c r="AU95" i="26"/>
  <c r="AJ93" i="26" l="1"/>
  <c r="AJ107" i="26" s="1"/>
  <c r="AJ108" i="26"/>
  <c r="AJ91" i="26"/>
  <c r="AJ109" i="26" s="1"/>
  <c r="AJ110" i="26"/>
  <c r="AV98" i="26"/>
  <c r="AV94" i="26"/>
  <c r="AV95" i="26"/>
  <c r="AV96" i="26"/>
  <c r="AP96" i="26" l="1"/>
  <c r="AG96" i="26" s="1" a="1"/>
  <c r="AG96" i="26" s="1"/>
  <c r="AJ94" i="26" s="1"/>
  <c r="AJ106" i="26" l="1"/>
  <c r="AJ95" i="26"/>
  <c r="AJ105" i="26" s="1"/>
  <c r="AP94" i="26"/>
  <c r="AP95" i="26"/>
  <c r="AG95" i="26" s="1" a="1"/>
  <c r="AG95" i="26" s="1"/>
  <c r="AJ96" i="26" s="1"/>
  <c r="AJ104" i="26" l="1"/>
  <c r="AJ97" i="26"/>
  <c r="AJ103" i="26" s="1"/>
  <c r="E293" i="23"/>
  <c r="E294" i="23" s="1"/>
  <c r="E214" i="23" s="1"/>
  <c r="E284" i="23"/>
  <c r="E281" i="23" s="1"/>
  <c r="E213" i="23" l="1"/>
  <c r="E239" i="23" s="1"/>
  <c r="AO101" i="26"/>
  <c r="AG101" i="26" s="1" a="1"/>
  <c r="AG101" i="26" s="1"/>
  <c r="AK97" i="26" s="1"/>
  <c r="E235" i="23"/>
  <c r="E242" i="23"/>
  <c r="E248" i="23"/>
  <c r="E280" i="23"/>
  <c r="E279" i="23" s="1"/>
  <c r="E278" i="23" s="1"/>
  <c r="E275" i="23" s="1"/>
  <c r="E272" i="23" s="1"/>
  <c r="E271" i="23" s="1"/>
  <c r="E268" i="23" s="1"/>
  <c r="E287" i="23" s="1"/>
  <c r="E191" i="23" s="1"/>
  <c r="E207" i="23" s="1"/>
  <c r="AO100" i="26" l="1"/>
  <c r="AG100" i="26" s="1" a="1"/>
  <c r="AG100" i="26" s="1"/>
  <c r="E245" i="23"/>
  <c r="E233" i="23"/>
  <c r="E236" i="23"/>
  <c r="E232" i="23"/>
  <c r="AO94" i="26"/>
  <c r="AG94" i="26" s="1" a="1"/>
  <c r="AG94" i="26" s="1"/>
  <c r="AJ98" i="26" s="1"/>
  <c r="AK98" i="26"/>
  <c r="AK103" i="26"/>
  <c r="E260" i="23"/>
  <c r="AJ99" i="26" l="1"/>
  <c r="AJ101" i="26" s="1"/>
  <c r="AJ102" i="26"/>
  <c r="E261" i="23"/>
  <c r="E262" i="23" s="1"/>
  <c r="AK99" i="26"/>
  <c r="AK102" i="26"/>
  <c r="E227" i="23"/>
  <c r="E228" i="23" s="1"/>
  <c r="AK101" i="26" l="1"/>
  <c r="AI87" i="26" s="1"/>
  <c r="AK100" i="26"/>
  <c r="AI89" i="26" s="1"/>
  <c r="E252" i="23"/>
  <c r="E253" i="23"/>
  <c r="E254" i="23" l="1"/>
  <c r="AI90" i="26"/>
  <c r="AI99" i="26"/>
  <c r="E255" i="23"/>
  <c r="E54" i="23" s="1"/>
  <c r="E55" i="23" s="1"/>
  <c r="E226" i="23"/>
  <c r="E223" i="23"/>
  <c r="E256" i="23"/>
  <c r="E240" i="23"/>
  <c r="E234" i="23"/>
  <c r="E243" i="23"/>
  <c r="E246" i="23"/>
  <c r="E249" i="23"/>
  <c r="E237" i="23"/>
  <c r="AI88" i="26"/>
  <c r="AI100" i="26" s="1"/>
  <c r="AI101" i="26"/>
  <c r="E229" i="23" l="1"/>
  <c r="E257" i="23" s="1"/>
  <c r="AI91" i="26"/>
  <c r="AI98" i="26"/>
  <c r="E258" i="23" l="1"/>
  <c r="E259" i="23"/>
  <c r="AI92" i="26"/>
  <c r="AI97" i="26"/>
  <c r="AI96" i="26" l="1"/>
  <c r="AI93" i="26"/>
  <c r="E379" i="23"/>
  <c r="E377" i="23" s="1"/>
  <c r="E356" i="23"/>
  <c r="E354" i="23" s="1"/>
  <c r="E367" i="23"/>
  <c r="E365" i="23" s="1"/>
  <c r="E383" i="23"/>
  <c r="E381" i="23" s="1"/>
  <c r="E360" i="23"/>
  <c r="E358" i="23" s="1"/>
  <c r="E372" i="23"/>
  <c r="E370" i="23" s="1"/>
  <c r="E364" i="23" l="1"/>
  <c r="E376" i="23"/>
  <c r="E353" i="23"/>
  <c r="AI94" i="26"/>
  <c r="AI95" i="26"/>
  <c r="E13" i="2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Cusson, Benoit</author>
  </authors>
  <commentList>
    <comment ref="C276" authorId="0" shapeId="0" xr:uid="{F210EF26-FD58-4CE0-A41C-C70BB30BB3F4}">
      <text>
        <r>
          <rPr>
            <sz val="9"/>
            <color indexed="81"/>
            <rFont val="Tahoma"/>
            <family val="2"/>
          </rPr>
          <t>Le calcul de l'élancement local s'effectue en considérant F0=Fy même si des soudures sont présentes.</t>
        </r>
      </text>
    </comment>
    <comment ref="C368" authorId="0" shapeId="0" xr:uid="{7D94141E-905C-477D-A6A4-EC3DD53660A7}">
      <text>
        <r>
          <rPr>
            <sz val="9"/>
            <color indexed="81"/>
            <rFont val="Tahoma"/>
            <family val="2"/>
          </rPr>
          <t>On utilise ici F_ de la semelle car l'âme est de classe 1 ou 2 et ne voilera pas avant la semelle.</t>
        </r>
      </text>
    </comment>
    <comment ref="C370" authorId="0" shapeId="0" xr:uid="{C10DAEC8-7423-4AA3-B108-A0B97CCC6B93}">
      <text>
        <r>
          <rPr>
            <sz val="9"/>
            <color indexed="81"/>
            <rFont val="Tahoma"/>
            <family val="2"/>
          </rPr>
          <t>Vérification recommandée par Beaulieu 6.2.3</t>
        </r>
      </text>
    </comment>
    <comment ref="C381" authorId="0" shapeId="0" xr:uid="{8B0B543B-ED32-49EB-9523-97525687343F}">
      <text>
        <r>
          <rPr>
            <sz val="9"/>
            <color indexed="81"/>
            <rFont val="Tahoma"/>
            <family val="2"/>
          </rPr>
          <t>Vérification recommandée par Beaulieu 6.2.3</t>
        </r>
      </text>
    </comment>
    <comment ref="C455" authorId="0" shapeId="0" xr:uid="{84384161-7559-4830-B9EA-CB77904D32D1}">
      <text>
        <r>
          <rPr>
            <sz val="9"/>
            <color indexed="81"/>
            <rFont val="Tahoma"/>
            <family val="2"/>
          </rPr>
          <t>Le calcul de l'élancement local s'effectue en considérant F0=Fy même si des soudures sont présentes.</t>
        </r>
      </text>
    </comment>
    <comment ref="C472" authorId="0" shapeId="0" xr:uid="{F5B80E00-F214-4DD2-A244-9D1C2667A4A5}">
      <text>
        <r>
          <rPr>
            <sz val="9"/>
            <color indexed="81"/>
            <rFont val="Tahoma"/>
            <family val="2"/>
          </rPr>
          <t>Le calcul de l'élancement local s'effectue en considérant F0=Fy même si des soudures sont présentes.</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<sst xmlns="http://schemas.openxmlformats.org/spreadsheetml/2006/main" count="1814" uniqueCount="546">
  <si>
    <t>mm</t>
  </si>
  <si>
    <t>-</t>
  </si>
  <si>
    <t>t</t>
  </si>
  <si>
    <t>Classe</t>
  </si>
  <si>
    <t>L</t>
  </si>
  <si>
    <t>kN</t>
  </si>
  <si>
    <t>kN-m</t>
  </si>
  <si>
    <t>w</t>
  </si>
  <si>
    <t>MPa</t>
  </si>
  <si>
    <t>Âme</t>
  </si>
  <si>
    <t>Module de section sup.</t>
  </si>
  <si>
    <t>a</t>
  </si>
  <si>
    <t>Module de section inf.</t>
  </si>
  <si>
    <t>Longueur libre non-retenue</t>
  </si>
  <si>
    <t>h</t>
  </si>
  <si>
    <t>Hauteur âme</t>
  </si>
  <si>
    <t>Épaisseur âme</t>
  </si>
  <si>
    <t>b</t>
  </si>
  <si>
    <t>Largeur aile supérieure</t>
  </si>
  <si>
    <t>Épaisseur aile supérieure</t>
  </si>
  <si>
    <t>Largeur aile inférieure</t>
  </si>
  <si>
    <t>Épaisseur aile inférieure</t>
  </si>
  <si>
    <t>d</t>
  </si>
  <si>
    <t>Profondeur poutre</t>
  </si>
  <si>
    <t>Moment d'inertie faible</t>
  </si>
  <si>
    <t>Fibre supérieure (comp.)</t>
  </si>
  <si>
    <t>Fibre inférieure (tend.)</t>
  </si>
  <si>
    <t>Propriétés de section</t>
  </si>
  <si>
    <t>y</t>
  </si>
  <si>
    <t>Vr</t>
  </si>
  <si>
    <t>E</t>
  </si>
  <si>
    <t>k</t>
  </si>
  <si>
    <t>Ix</t>
  </si>
  <si>
    <t>Iy</t>
  </si>
  <si>
    <t>oui</t>
  </si>
  <si>
    <t>Ag</t>
  </si>
  <si>
    <t>Fy</t>
  </si>
  <si>
    <t>Résistance à la flexion</t>
  </si>
  <si>
    <t>φy</t>
  </si>
  <si>
    <t>Fwy</t>
  </si>
  <si>
    <t>F_</t>
  </si>
  <si>
    <t>Aw</t>
  </si>
  <si>
    <t>Ω</t>
  </si>
  <si>
    <t>Âmes plates sans raidisseurs</t>
  </si>
  <si>
    <t>F0</t>
  </si>
  <si>
    <t>Module élastique</t>
  </si>
  <si>
    <t>tbf</t>
  </si>
  <si>
    <t>bbf</t>
  </si>
  <si>
    <t>ttf</t>
  </si>
  <si>
    <t>btf</t>
  </si>
  <si>
    <t>non</t>
  </si>
  <si>
    <t>λ_0</t>
  </si>
  <si>
    <t>m = 3 + 0.6 (at / bw) &lt; 5 (retenue une rive, comp. unif.)</t>
  </si>
  <si>
    <t>Fm = Fy - (Fy-Fwy) (Aw/Ag)</t>
  </si>
  <si>
    <t>Z</t>
  </si>
  <si>
    <t>k = 0,9 + 0,1 |1-λ_| ≤ 1 (influence soudures longitudinales)</t>
  </si>
  <si>
    <t>F_ = β - √ (β² - 1/λ_²) (contrainte de flambement normalisée)</t>
  </si>
  <si>
    <t>β = [1 + α (λ_ - λ_0) + λ_²] / 2λ_²</t>
  </si>
  <si>
    <t>λ_ = λ/π√F0/E (élancement normalisé)</t>
  </si>
  <si>
    <t>λ = √Ω/ω * L/ry / 4√(1 + (Lt/bd)²) (élancement global)</t>
  </si>
  <si>
    <t>Entrée de donnée</t>
  </si>
  <si>
    <t>Classification des membrures en flexion</t>
  </si>
  <si>
    <t>ye</t>
  </si>
  <si>
    <t>Zx</t>
  </si>
  <si>
    <t>yp</t>
  </si>
  <si>
    <t>Abf</t>
  </si>
  <si>
    <t>Ibf</t>
  </si>
  <si>
    <t>Atf</t>
  </si>
  <si>
    <t>Itf</t>
  </si>
  <si>
    <t>Iw</t>
  </si>
  <si>
    <t>Aire totale (ΣAi)</t>
  </si>
  <si>
    <t>At</t>
  </si>
  <si>
    <t>Moment statique (Σ Ai yi)</t>
  </si>
  <si>
    <t>Ms</t>
  </si>
  <si>
    <t>yb</t>
  </si>
  <si>
    <t>yt</t>
  </si>
  <si>
    <t>Moment d'inertie (ΣIxi)</t>
  </si>
  <si>
    <t>Sb</t>
  </si>
  <si>
    <t>St</t>
  </si>
  <si>
    <t>ANP = (Atf-Abf)/2w + h/2 + tbf</t>
  </si>
  <si>
    <t>Module sect plast. = Σ Ai (yi-yp)</t>
  </si>
  <si>
    <t>Unités</t>
  </si>
  <si>
    <t>Référence</t>
  </si>
  <si>
    <t>Calculs intermédiaires</t>
  </si>
  <si>
    <t>Aire semelle inférieure</t>
  </si>
  <si>
    <t>CG aile inférieure</t>
  </si>
  <si>
    <t>Inertie aile inférieure</t>
  </si>
  <si>
    <t>Aire semelle supérieure</t>
  </si>
  <si>
    <t>CG aile supérieure</t>
  </si>
  <si>
    <t>Inertie aile supérieure</t>
  </si>
  <si>
    <t>Aire âme</t>
  </si>
  <si>
    <t>CG âme</t>
  </si>
  <si>
    <t>Inertie âme</t>
  </si>
  <si>
    <t>Dimensions de la poutre</t>
  </si>
  <si>
    <t>MNRL - Toutes classes</t>
  </si>
  <si>
    <t>Mrdévers</t>
  </si>
  <si>
    <t>Limite élastique dans la ZAT</t>
  </si>
  <si>
    <t>Limite élastique</t>
  </si>
  <si>
    <t>Mrclasse</t>
  </si>
  <si>
    <t>MRL - Selon la classe</t>
  </si>
  <si>
    <t>Paramètres principaux</t>
  </si>
  <si>
    <t>Fsc = F0 F_</t>
  </si>
  <si>
    <t>F0 = 0,6 Fy</t>
  </si>
  <si>
    <t>λ_ = λs/π√F0/E (élancement normalisé)</t>
  </si>
  <si>
    <t>Âme non-raidie</t>
  </si>
  <si>
    <t>Âmes plates avec raidisseurs</t>
  </si>
  <si>
    <t>Âme raidie</t>
  </si>
  <si>
    <t>λs = 1,4 b/w / [1 + 1.75 (b/a)²]^1/2</t>
  </si>
  <si>
    <t>vs = 0,6 Fy w</t>
  </si>
  <si>
    <t>N/mm</t>
  </si>
  <si>
    <t>λs = 1,4 h/w</t>
  </si>
  <si>
    <t>ANE = Ms / At</t>
  </si>
  <si>
    <t>Les sections sont symétriques selon l'axe faible.</t>
  </si>
  <si>
    <t>L'axe neutre plastique se situe dans l'âme de la poutre.</t>
  </si>
  <si>
    <t>L'aile supérieure est celle qui est comprimée.</t>
  </si>
  <si>
    <t>Classe de la section en flexion</t>
  </si>
  <si>
    <t>b = btf / 2</t>
  </si>
  <si>
    <t>t = ttf</t>
  </si>
  <si>
    <t>a = d - ttf/2 - tbf/2</t>
  </si>
  <si>
    <t>F0 = Fy</t>
  </si>
  <si>
    <t>λ = m b / t (élancement local)</t>
  </si>
  <si>
    <t>λ_ = λ/π √F0/E (élancement normalisé)</t>
  </si>
  <si>
    <t>Fc = F_ Fy (contrainte de flambement local)</t>
  </si>
  <si>
    <t>t = w</t>
  </si>
  <si>
    <t>w = w</t>
  </si>
  <si>
    <t>b = d - ttf/2 - tbf/2</t>
  </si>
  <si>
    <t>f2/f1 = - (yb - tbf) / (yt - ttf)</t>
  </si>
  <si>
    <t>m = choix selon f2/f1 (retenue deux rives, flexion propre plan)</t>
  </si>
  <si>
    <t>m = 1.3 / (1 - f2/f1) lorsque f2/f2 &lt; -1</t>
  </si>
  <si>
    <t>m = 1.15 + f2/f1 / 2 lorsque -1 &lt; f2/f2 &lt; 1</t>
  </si>
  <si>
    <t>Semelle comprimée</t>
  </si>
  <si>
    <t>λ_ (élancement normalisé)</t>
  </si>
  <si>
    <t>Âme comprimée</t>
  </si>
  <si>
    <t>Section complète</t>
  </si>
  <si>
    <t>Mrc = φy Z Fy</t>
  </si>
  <si>
    <t>Mrt = φu Zn Fu</t>
  </si>
  <si>
    <t>Zn</t>
  </si>
  <si>
    <t>Fu</t>
  </si>
  <si>
    <t>φu</t>
  </si>
  <si>
    <t>Limite ultime</t>
  </si>
  <si>
    <t>Mrc = φy St Fy</t>
  </si>
  <si>
    <t>Mrt = φu Sbn Fu</t>
  </si>
  <si>
    <t>Sbn</t>
  </si>
  <si>
    <t>Mr1 = min (Mrc ; Mrt)</t>
  </si>
  <si>
    <t>Mr2 = min (Mrc ; Mrt)</t>
  </si>
  <si>
    <t>Résistance à la flexion section classe 1</t>
  </si>
  <si>
    <t>Résistance à la flexion section classe 2</t>
  </si>
  <si>
    <t>Mrc = φy St F_ Fy</t>
  </si>
  <si>
    <t>F_ semelle comprimée</t>
  </si>
  <si>
    <t>Mr3a = min (Mrc ; Mrt)</t>
  </si>
  <si>
    <t>Mr3b = min (Mrc ; Mrt)</t>
  </si>
  <si>
    <t>J</t>
  </si>
  <si>
    <t>I1</t>
  </si>
  <si>
    <t>I2</t>
  </si>
  <si>
    <t>y1</t>
  </si>
  <si>
    <t>y2</t>
  </si>
  <si>
    <t>Cw</t>
  </si>
  <si>
    <t>γ</t>
  </si>
  <si>
    <t>Beaulieu | éq. 5.95</t>
  </si>
  <si>
    <t>Beaulieu | fig. 6.5</t>
  </si>
  <si>
    <t>Beaulieu | fig. 6.23</t>
  </si>
  <si>
    <t>y1 = yt - ttf / 2 (comprimée)</t>
  </si>
  <si>
    <t>y2 = yb - tbf / 2 (tendue)</t>
  </si>
  <si>
    <t>Cw = (y1+y2)² I1 I2 / ( I1 + I2)</t>
  </si>
  <si>
    <t>Élancement global de la poutre fléchie</t>
  </si>
  <si>
    <t>Coefficient d'application de la charge</t>
  </si>
  <si>
    <t>λ = √Ω/ω * √SxL / 4√(Iy (0,04J + Cw/L²)) (élancement global)</t>
  </si>
  <si>
    <t>Sx</t>
  </si>
  <si>
    <t>Coefficient de gradient de moment</t>
  </si>
  <si>
    <t>ω</t>
  </si>
  <si>
    <t>ry</t>
  </si>
  <si>
    <t>Rayon de giration axe faible = √(Iy/A)</t>
  </si>
  <si>
    <t>Cas spécifique section en I</t>
  </si>
  <si>
    <t>Mr = φy Sx k F_ F0</t>
  </si>
  <si>
    <t>a) Fy</t>
  </si>
  <si>
    <t>b) Fc</t>
  </si>
  <si>
    <t>c) Fm</t>
  </si>
  <si>
    <t>d) Fy</t>
  </si>
  <si>
    <t>e) Fwy</t>
  </si>
  <si>
    <t>f) Fm</t>
  </si>
  <si>
    <t>Contrainte de flambement normalisée F_ cas a) à e)</t>
  </si>
  <si>
    <t>Contrainte de flambement normalisée F_ cas f)</t>
  </si>
  <si>
    <t>F0 = plus petit des cas a) à e) applicables</t>
  </si>
  <si>
    <t>Mr = φy Sx F_ F0</t>
  </si>
  <si>
    <t>Résistance à la flexion cas a) à e)</t>
  </si>
  <si>
    <t>Résistance à la flexion cas f)</t>
  </si>
  <si>
    <t>Mrdévers = min [ cas a) à f) ]</t>
  </si>
  <si>
    <t>F0 = cas f) si applicable</t>
  </si>
  <si>
    <t>Cas spécifique poutre unisymétrique</t>
  </si>
  <si>
    <t>Beaulieu | 6.4.6</t>
  </si>
  <si>
    <t>Beaulieu | éq. 6.47</t>
  </si>
  <si>
    <t>γ=0.45 (y1+y2) [2I1/(I1+I2)-1] [1-(Iy/Ix)²]</t>
  </si>
  <si>
    <t>Beaulieu | éq. 6.40</t>
  </si>
  <si>
    <t>M0 = Sx F0</t>
  </si>
  <si>
    <t>Beaulieu | 6.3.1</t>
  </si>
  <si>
    <t>G</t>
  </si>
  <si>
    <t>Beaulieu | éq. 6.45</t>
  </si>
  <si>
    <t>Module élastique en cisaillement</t>
  </si>
  <si>
    <t>Espacement des raidisseurs transversaux</t>
  </si>
  <si>
    <t>φk = φy</t>
  </si>
  <si>
    <t>b = h</t>
  </si>
  <si>
    <t>Vr = min (Vr1 ; Vr2)</t>
  </si>
  <si>
    <t>αtf</t>
  </si>
  <si>
    <t>Sem. sup. (traité therm ou non, soudé ou non)</t>
  </si>
  <si>
    <t>αbf</t>
  </si>
  <si>
    <t>αw</t>
  </si>
  <si>
    <t>Sem. inf. (traité therm ou non, soudé ou non)</t>
  </si>
  <si>
    <t>Âme (traité therm ou non, soudé ou non)</t>
  </si>
  <si>
    <t>αsection</t>
  </si>
  <si>
    <t>Section (traité therm ou non, soudé ou non)</t>
  </si>
  <si>
    <t>Présence soudures longitudinales ? (oui ou non)</t>
  </si>
  <si>
    <t>Classe de l'âme en flexion</t>
  </si>
  <si>
    <t>vr = φy vs</t>
  </si>
  <si>
    <t>Auteur</t>
  </si>
  <si>
    <t>Titre</t>
  </si>
  <si>
    <t>Abréviation</t>
  </si>
  <si>
    <t>Code canadien sur le calcul des ponts routiers</t>
  </si>
  <si>
    <t>2019</t>
  </si>
  <si>
    <t>Commentary on CSA S6:19, Canadian Highway Bridge Design Code</t>
  </si>
  <si>
    <t>Denis Beaulieu</t>
  </si>
  <si>
    <t>CSA S157-17</t>
  </si>
  <si>
    <t>S157-17</t>
  </si>
  <si>
    <t>2017</t>
  </si>
  <si>
    <t>Calcul des charpentes d'aluminium</t>
  </si>
  <si>
    <t>Beaulieu</t>
  </si>
  <si>
    <t>Calcul de la résistance mécanique des éléments en aluminium + Commentaire</t>
  </si>
  <si>
    <t>2006</t>
  </si>
  <si>
    <t>Fm = √F_ Fy (résistance post-voilement)</t>
  </si>
  <si>
    <t>Vr = φy h w Fsc</t>
  </si>
  <si>
    <t>Vr1 = φk [2 √(Fsc vs / w) - Fsc] h w</t>
  </si>
  <si>
    <t>Vr2 = vr * h</t>
  </si>
  <si>
    <t>λ_ = √ [M0 / (√ω/Ω * Me)] (élancement normalisé)</t>
  </si>
  <si>
    <t>Me = π/L [ √ (EIyGJ + (π/L)²EIyECw + (γπEIy/L)²) + γπEIy/L ]</t>
  </si>
  <si>
    <t>mm²</t>
  </si>
  <si>
    <t>mm³</t>
  </si>
  <si>
    <t>Const. St-Venant = 1/3 Σ b t³</t>
  </si>
  <si>
    <t>I1 = btf³ ttf / 12 (comprimée)</t>
  </si>
  <si>
    <t>I2 = bbf³ tbf / 12 (tendue)</t>
  </si>
  <si>
    <t>RÉFÉRENCES</t>
  </si>
  <si>
    <t>HYPOTHÈSES DU CHIFFRIER</t>
  </si>
  <si>
    <t>L'aire des soudures longitudinales est négligée dans le calcul des propriétés de section.</t>
  </si>
  <si>
    <t>Pour le calcul de résistance au cisaillement, a &gt; h.</t>
  </si>
  <si>
    <t>Année</t>
  </si>
  <si>
    <t>RÉALISATION DU CHIFFRIER</t>
  </si>
  <si>
    <t>Benoit Cusson, ing., M.Sc.</t>
  </si>
  <si>
    <t>WSP</t>
  </si>
  <si>
    <t>Notices légales</t>
  </si>
  <si>
    <t>Client</t>
  </si>
  <si>
    <t>L’utilisateur de ce chiffrier demeure l’ultime responsable des résultats qui en découlent et doit faire preuve de diligence dans la compréhension de celui-ci.</t>
  </si>
  <si>
    <t>SUIVI DES RÉVISIONS</t>
  </si>
  <si>
    <t>v.0 | 2021-08-31</t>
  </si>
  <si>
    <t>DESCRIPTION ET FONCTIONNEMENT DU CHIFFRIER</t>
  </si>
  <si>
    <t>Tous les résultats dépendent des cellules vertes qui sont les seules cellules à modifier par l'utilisateur.</t>
  </si>
  <si>
    <t>Ce chiffrier calcule la résistance en flexion et en cisaillement de poutres en I en aluminium sous diverses conditions.</t>
  </si>
  <si>
    <t>Étant donné que le fichier transmis n'est plus sous le contrôle de WSP, son intégrité n'est pas garantie. Aucune garantie n'est donnée sur les modifications qui peuvent y être apportées ultérieurement.</t>
  </si>
  <si>
    <t>Consultant</t>
  </si>
  <si>
    <t>Alu-Québec dans le cadre du programme Alu-Compétences</t>
  </si>
  <si>
    <t>Général</t>
  </si>
  <si>
    <t>Sections soudées</t>
  </si>
  <si>
    <t>Les croquis des différentes situations de poutres montrent les soudures ainsi que l'étendue schématique de la zone affectée thermiquement.</t>
  </si>
  <si>
    <t>bhaztf</t>
  </si>
  <si>
    <t>bhazbf</t>
  </si>
  <si>
    <t>bhazw</t>
  </si>
  <si>
    <t>Largeur de la ZAT dans la semelle supérieure</t>
  </si>
  <si>
    <t>Largeur de la ZAT dans la semelle inférieure</t>
  </si>
  <si>
    <t>Largeur de la ZAT dans l'âme</t>
  </si>
  <si>
    <t>Matériaux</t>
  </si>
  <si>
    <t>Soudage</t>
  </si>
  <si>
    <t>Dimensions effectives de la poutre</t>
  </si>
  <si>
    <t>ttf1</t>
  </si>
  <si>
    <t>ttf2</t>
  </si>
  <si>
    <t>btf1</t>
  </si>
  <si>
    <t>btf2</t>
  </si>
  <si>
    <t>tbf1</t>
  </si>
  <si>
    <t>tbf2</t>
  </si>
  <si>
    <t>bbf1</t>
  </si>
  <si>
    <t>bbf2</t>
  </si>
  <si>
    <t>w1</t>
  </si>
  <si>
    <t>w2</t>
  </si>
  <si>
    <t>w3</t>
  </si>
  <si>
    <t>w4</t>
  </si>
  <si>
    <t>w5</t>
  </si>
  <si>
    <t>h1</t>
  </si>
  <si>
    <t>h2</t>
  </si>
  <si>
    <t>h3</t>
  </si>
  <si>
    <t>h4</t>
  </si>
  <si>
    <t>h5</t>
  </si>
  <si>
    <t>Réduction des épaisseurs liée au soudage</t>
  </si>
  <si>
    <t>réd. tf2</t>
  </si>
  <si>
    <t>réd. bf2</t>
  </si>
  <si>
    <t>réd. w1</t>
  </si>
  <si>
    <t>réd. w2</t>
  </si>
  <si>
    <t>réd. w3</t>
  </si>
  <si>
    <t>réd. w4</t>
  </si>
  <si>
    <t>réd. w5</t>
  </si>
  <si>
    <t>ttf * réd. tf2</t>
  </si>
  <si>
    <t>tbf * réd. bf2</t>
  </si>
  <si>
    <t>w + 2 bhaztf</t>
  </si>
  <si>
    <t>(btf - btf2) / 2</t>
  </si>
  <si>
    <t>(bbf - bbf2) / 2</t>
  </si>
  <si>
    <t>w + 2 bhazbf</t>
  </si>
  <si>
    <t>w * réd. w1</t>
  </si>
  <si>
    <t>w * réd. w2</t>
  </si>
  <si>
    <t>w * réd. w3</t>
  </si>
  <si>
    <t>w * réd. w4</t>
  </si>
  <si>
    <t>w * réd. w5</t>
  </si>
  <si>
    <t>variable en fonction de la situation</t>
  </si>
  <si>
    <t>Le quatrième onglet du chiffrier permet de visualiser la section efficace</t>
  </si>
  <si>
    <t>Fwy / Fy * c / y ≤ 1 où c/y est selon la situation</t>
  </si>
  <si>
    <t>p</t>
  </si>
  <si>
    <t>Décalage des soudures longi. de la situation #3</t>
  </si>
  <si>
    <r>
      <t xml:space="preserve">Spécifiquement pour la situations #3, p </t>
    </r>
    <r>
      <rPr>
        <sz val="10"/>
        <color theme="1"/>
        <rFont val="Calibri"/>
        <family val="2"/>
      </rPr>
      <t>≥</t>
    </r>
    <r>
      <rPr>
        <sz val="10"/>
        <color theme="1"/>
        <rFont val="Arial"/>
        <family val="2"/>
      </rPr>
      <t xml:space="preserve"> bhazw et 2*p + 2*bhazw ≤ h. Ces conditions font en sorte que les ZAT de cette situation n'atteignent pas les semelles et ne se chevauchent pas.</t>
    </r>
  </si>
  <si>
    <t>x</t>
  </si>
  <si>
    <t>Semelle supérieure</t>
  </si>
  <si>
    <t>Cadre 50 mm</t>
  </si>
  <si>
    <t>Dim max</t>
  </si>
  <si>
    <t>Section élastique</t>
  </si>
  <si>
    <t>Section brute</t>
  </si>
  <si>
    <t>position yp</t>
  </si>
  <si>
    <t>Position de l'axe neutre plastique dans l'âme</t>
  </si>
  <si>
    <t>Échelle épaisseurs</t>
  </si>
  <si>
    <t>Aw1</t>
  </si>
  <si>
    <t>Iw1</t>
  </si>
  <si>
    <t>Aire âme 1</t>
  </si>
  <si>
    <t>CG âme 1</t>
  </si>
  <si>
    <t>Inertie âme 1</t>
  </si>
  <si>
    <t>Aw2</t>
  </si>
  <si>
    <t>Aire âme 2</t>
  </si>
  <si>
    <t>CG âme 2</t>
  </si>
  <si>
    <t>Iw2</t>
  </si>
  <si>
    <t>Inertie âme 2</t>
  </si>
  <si>
    <t>Aw3</t>
  </si>
  <si>
    <t>Aire âme 3</t>
  </si>
  <si>
    <t>y3</t>
  </si>
  <si>
    <t>CG âme 3</t>
  </si>
  <si>
    <t>Iw3</t>
  </si>
  <si>
    <t>Inertie âme 3</t>
  </si>
  <si>
    <t>Aw4</t>
  </si>
  <si>
    <t>Aire âme 4</t>
  </si>
  <si>
    <t>y4</t>
  </si>
  <si>
    <t>CG âme 4</t>
  </si>
  <si>
    <t>Iw4</t>
  </si>
  <si>
    <t>Inertie âme 4</t>
  </si>
  <si>
    <t>Aw5</t>
  </si>
  <si>
    <t>Aire âme 5</t>
  </si>
  <si>
    <t>y5</t>
  </si>
  <si>
    <t>CG âme 5</t>
  </si>
  <si>
    <t>Iw5</t>
  </si>
  <si>
    <t>Inertie âme 5</t>
  </si>
  <si>
    <t>Sous-calculs pour l'âme</t>
  </si>
  <si>
    <t>Section effective élastique</t>
  </si>
  <si>
    <t>Section effective plastique</t>
  </si>
  <si>
    <t>Entrez "1" pour afficher cette section ou "0" pour l'éteindre.</t>
  </si>
  <si>
    <t>Fonctionnement</t>
  </si>
  <si>
    <t>Section plastique</t>
  </si>
  <si>
    <t>Fwy / Fy ≤ 1 ou 1 selon la situation</t>
  </si>
  <si>
    <t>Situation</t>
  </si>
  <si>
    <t>Choix</t>
  </si>
  <si>
    <t>Situation 1</t>
  </si>
  <si>
    <t>Situation 2</t>
  </si>
  <si>
    <t>Situation 3</t>
  </si>
  <si>
    <t>Situation 4</t>
  </si>
  <si>
    <t>Situation 5</t>
  </si>
  <si>
    <t>Situation 6</t>
  </si>
  <si>
    <t>Situation 7</t>
  </si>
  <si>
    <t>Situation 8</t>
  </si>
  <si>
    <t>Situation 9</t>
  </si>
  <si>
    <t>Entrez le numéro de la situation correspondant au soudage de la poutre.</t>
  </si>
  <si>
    <t>Calcul de Mr et Vr pour les poutres en aluminium sous diverses conditions</t>
  </si>
  <si>
    <t>Calcul de Mr et Vr pour les poutres en aluminium</t>
  </si>
  <si>
    <t>#1</t>
  </si>
  <si>
    <t>Soudures longitudinales</t>
  </si>
  <si>
    <t>Soudures transversales</t>
  </si>
  <si>
    <r>
      <t>mm</t>
    </r>
    <r>
      <rPr>
        <vertAlign val="superscript"/>
        <sz val="10"/>
        <rFont val="Arial"/>
        <family val="2"/>
      </rPr>
      <t>4</t>
    </r>
  </si>
  <si>
    <r>
      <t>mm</t>
    </r>
    <r>
      <rPr>
        <vertAlign val="superscript"/>
        <sz val="10"/>
        <rFont val="Arial"/>
        <family val="2"/>
      </rPr>
      <t>6</t>
    </r>
  </si>
  <si>
    <r>
      <t>ANP = (Atf-Abf</t>
    </r>
    <r>
      <rPr>
        <sz val="10"/>
        <rFont val="Calibri"/>
        <family val="2"/>
      </rPr>
      <t>±</t>
    </r>
    <r>
      <rPr>
        <sz val="10"/>
        <rFont val="Arial"/>
        <family val="2"/>
      </rPr>
      <t>Ai) / 2wi + yi</t>
    </r>
  </si>
  <si>
    <t>#2</t>
  </si>
  <si>
    <t>1x âme</t>
  </si>
  <si>
    <t>#3</t>
  </si>
  <si>
    <t>2x âme</t>
  </si>
  <si>
    <t>Par défaut, les matériaux et dimensions de la situation #1 sont repris pour les autres situations pour comparer l'effet du soudage. L'utilisateur peut toutefois entrer des données différentes pour chaque situation.</t>
  </si>
  <si>
    <t>#4</t>
  </si>
  <si>
    <t>4x âme</t>
  </si>
  <si>
    <t>#5</t>
  </si>
  <si>
    <t>tf</t>
  </si>
  <si>
    <t>Prière d'acheminer tout commentaire sur ce chiffrier ou demande de développement à Alu-Québec.</t>
  </si>
  <si>
    <t>#6</t>
  </si>
  <si>
    <t>bf</t>
  </si>
  <si>
    <t>Semelle inférieure</t>
  </si>
  <si>
    <t>âme</t>
  </si>
  <si>
    <t>#7</t>
  </si>
  <si>
    <t>#8</t>
  </si>
  <si>
    <t>tf, bf, w</t>
  </si>
  <si>
    <t>#9</t>
  </si>
  <si>
    <t>Chaque colonnes du chiffrier représente une situation distincte de soudage pour la poutre. L'utilisateur doit déterminer la situation pertinente en se référant aux croquis disponibles dans le second onglet du chiffrier.</t>
  </si>
  <si>
    <t>La fonction Excel "Affichage / Nouvelle fenêtre" est utile pour visualiser différentes informations simultanément (par exemple : modifier l'entrée de donnée et visualiser les résultats ou la section effective).</t>
  </si>
  <si>
    <t>Chiffrier pour le concept de passerelle avec poutres en aluminium et platelage de bois</t>
  </si>
  <si>
    <t>Les cellules en bleu représentent certains paramètres principaux des calculs qui diffèrent entre les colonnes du chiffrier.</t>
  </si>
  <si>
    <t>Une section paramétrique est établie pour permettre de traiter tous les cas de section soudée. Celle-ci est présentée dans le quatrième onglet du chiffrier.</t>
  </si>
  <si>
    <t>Un outil graphique dans le même onglet permet de visualiser la section brute à l'étude ainsi que les sections élastique et plastique effectives.</t>
  </si>
  <si>
    <t>Les étapes de calculs sont regroupées par sections pour faciliter la vision d'ensemble. L'utilisateur peut afficher ou réduire les différents détails de calculs.</t>
  </si>
  <si>
    <t>Bien que le chiffrier de calcul ait été préparé avec minutie et selon les meilleures connaissances techniques, WSP n’assume aucune responsabilité par rapport à son utilisation par diverses parties.</t>
  </si>
  <si>
    <t>Sections de classe 3</t>
  </si>
  <si>
    <t>Pour les sections de classe 3 avec une âme de classe 1 ou 2, Mrc = φy S F_ Fy et Mrt = φu Sn Fu. Dans ce cas, seule la semelle peut voiler.</t>
  </si>
  <si>
    <t>Pour les sections de classe 3 avec la semelle comprimée de classe 1 ou 2, Mrc = φy Sm Fy et Mrt = φu Sn Fu. Dans ce cas, seule l'âme peut voiler.</t>
  </si>
  <si>
    <t>EN 1999-1-1:2007</t>
  </si>
  <si>
    <t>Eurocode 9: Design of aluminium structures - Part 1-1: General structural rules</t>
  </si>
  <si>
    <t>2007</t>
  </si>
  <si>
    <t>Euro9</t>
  </si>
  <si>
    <t>Les sections de classe 3 ayant l'âme et la semelle comprimée de classe 3 ne sont pas couvertes par le chiffrier. Une méthode de calcul est présentée dans Euro9.</t>
  </si>
  <si>
    <t>Il en résulte donc un calcul itératif où le paramètre m des âmes est calculé à partir des propriétés de section élastiques réduites par le soudage et le voilement local. Euro9 | 6.7.2 détaille ce sujet.</t>
  </si>
  <si>
    <t>Pour préserver le chiffrier des références circulaires, il a été choisi de laisser l'utilisateur effectuer manuellement les itérations requises s'il est en présence d'une âme de classe 3.</t>
  </si>
  <si>
    <t>Âmes de classe 3</t>
  </si>
  <si>
    <t>En présence d'une âme de classe 3, l'utilisateur doit procéder à des itérations manuelles selon la méthodologie décrite plus bas.</t>
  </si>
  <si>
    <t>Résistance à la flexion âme classe 3 (semelle classe 1 ou 2)</t>
  </si>
  <si>
    <t>Résistance à la flexion semelle classe 3 (âme classe 1 ou 2)</t>
  </si>
  <si>
    <t>w6</t>
  </si>
  <si>
    <t>w * réd. w6</t>
  </si>
  <si>
    <t>réd. w6</t>
  </si>
  <si>
    <t>h6</t>
  </si>
  <si>
    <t>Aw6</t>
  </si>
  <si>
    <t>y6</t>
  </si>
  <si>
    <t>Iw6</t>
  </si>
  <si>
    <t>Aire âme 6</t>
  </si>
  <si>
    <t>CG âme 6</t>
  </si>
  <si>
    <t>Inertie âme 6</t>
  </si>
  <si>
    <t>ytf</t>
  </si>
  <si>
    <t>ybf</t>
  </si>
  <si>
    <t>yw</t>
  </si>
  <si>
    <t>Dimensions de base en considérant le soudage seulement</t>
  </si>
  <si>
    <t>Cas où l'âme est séparée en 2 sous-segments</t>
  </si>
  <si>
    <t>min (soudage;élancement)</t>
  </si>
  <si>
    <r>
      <rPr>
        <sz val="10"/>
        <rFont val="Calibri"/>
        <family val="2"/>
      </rPr>
      <t>√</t>
    </r>
    <r>
      <rPr>
        <sz val="10"/>
        <rFont val="Arial"/>
        <family val="2"/>
      </rPr>
      <t>F_</t>
    </r>
  </si>
  <si>
    <t>hc entrée</t>
  </si>
  <si>
    <t>hc calculée</t>
  </si>
  <si>
    <t>Hauteur comprimée de l'âme entrée</t>
  </si>
  <si>
    <t>Hauteur comprimée de l'âme calculée = yt - ttf</t>
  </si>
  <si>
    <t>Élancement local de l'âme comprimée selon la section effective</t>
  </si>
  <si>
    <t>Élancement local de l'âme comprimée selon la section brute</t>
  </si>
  <si>
    <t>Élancement local de la semelle comprimée selon la section brute</t>
  </si>
  <si>
    <t>Réduction de l'épaisseur de l'âme en fonction du voilement local</t>
  </si>
  <si>
    <t>f2/f1 = - (h - hc entrée) / (hc entrée)</t>
  </si>
  <si>
    <t>Convergence</t>
  </si>
  <si>
    <t>hc entrée / hc calculée</t>
  </si>
  <si>
    <t>Itération pour âme classe 3</t>
  </si>
  <si>
    <t>Cas où l'âme est séparée en 4 sous-segments</t>
  </si>
  <si>
    <t>Cas où l'âme est séparée en 6 sous-segments</t>
  </si>
  <si>
    <t>Réduction des épaisseurs liée au soudage et au voilement</t>
  </si>
  <si>
    <t>Mrc = φy Sm Fy</t>
  </si>
  <si>
    <t>Classe âme</t>
  </si>
  <si>
    <t>Classe sem.</t>
  </si>
  <si>
    <t>Classe de la semelle en compression</t>
  </si>
  <si>
    <t>λ_ semelle</t>
  </si>
  <si>
    <t>Élancement normalisé de la semelle comprimée</t>
  </si>
  <si>
    <t>λ_ âme</t>
  </si>
  <si>
    <t>Élancement normalisé de l'âme en flexion</t>
  </si>
  <si>
    <t>1) RÉSUMÉ DES RÉSISTANCES</t>
  </si>
  <si>
    <t>2) ENTRÉE DE DONNÉES</t>
  </si>
  <si>
    <t>3) PROPRIÉTÉS DE SECTION BRUTE</t>
  </si>
  <si>
    <t>4) PROPRIÉTÉS SECTION PLASTIQUE RÉDUITES (SOUDAGE)</t>
  </si>
  <si>
    <t>5) PROPRIÉTÉS SECTION ÉLASTIQUE RÉDUITES (SOUDAGE ET VOILEMENT)</t>
  </si>
  <si>
    <t>6) PARAMÈTRES SPÉCIFIQUES POUR L'ÂME DE CLASSE 3</t>
  </si>
  <si>
    <t>7) MEMBRURES RETENUES CONTRE FLAMBEMENT LATÉRAL</t>
  </si>
  <si>
    <t>8) MEMBRURES NON RETENUES CONTRE FLAMBEMENT LATÉRAL</t>
  </si>
  <si>
    <t>9) FLAMBEMENT LOCAL</t>
  </si>
  <si>
    <t>10) CISAILLEMENT - MEMBRURES EN FLEXION À DEUX SEMELLES</t>
  </si>
  <si>
    <t>11) AUTRES CALCULS D'ÉLANCEMENT POUR INFORMATION</t>
  </si>
  <si>
    <t>Les situations #5 à #8 présentent des soudures longitudinales et transversales. De façon conservatrice, on inclut l'aire de la soudure transversale dans le calcul de Aw.</t>
  </si>
  <si>
    <t>L'itération manuelle consiste à copier la plage E54:M54 et à la coller en valeur seulement dans la plage E53:M53 jusqu'à ce la convergence sur la hauteur comprimée de l'âme soit satisfaisante.</t>
  </si>
  <si>
    <t>Entrez "1" pour visualiser la section à l'échelle. Toute autre valeur amplifiera l'épaisseur des semelles et de l'âme pour fins de visualisation.</t>
  </si>
  <si>
    <t>Florent Lévesque et Denis Tremblay</t>
  </si>
  <si>
    <t>Conception d'une passerelle d'aluminium</t>
  </si>
  <si>
    <t>2010</t>
  </si>
  <si>
    <t>Lévesque</t>
  </si>
  <si>
    <t>Cette itération manuelle est seulement requise en présence d'une âme de classe 3. Autrement, l'utilisateur peut laisser les cellules mauves tel quel.</t>
  </si>
  <si>
    <t>Bien que le chiffrier considère que les ailes inférieures et supérieures peuvent avoir des dimensions différentes, la norme limite implicitement l'utilisation des équations pour des poutres doublement symétriques.</t>
  </si>
  <si>
    <t>Version initiale du chiffrier pour le programme Alu-Compétences</t>
  </si>
  <si>
    <t>Par conservatisme, b est considéré comme la demi-largeur des semelles pour le calcul de l'élancement local même dans le cas d'un congé qui pourrait être présent dans l'extrusion (vs S6:19 | 17.9.1.1).</t>
  </si>
  <si>
    <t>Pour le calcul de résistance au cisaillement, on considère que les assemblages sont plus résistants que le métal de base (i.e. CSA S6:19 | 17.12.4.1.4 a) contrôle).</t>
  </si>
  <si>
    <t>Les entrées de données bhaztf, bhazbf et bhazw correspondent aux étendues de la zone affectée thermiquement selon S6:19 | fig. 17.7.</t>
  </si>
  <si>
    <t>En lien avec l'astérisque au bas de S6:19 | fig. 17.7, l'utilisateur est responsable d'entrer une valeur de bhaz permettant d'obtenir l'étendue appropriée de la zone affectée thermiquement.</t>
  </si>
  <si>
    <t>Pour les soudures d'angle âme-semelle, on considère de façon conservatrice que l'axe de la soudure est situé à la face intérieure de la semelle (voir S6:19 | 17.3.2 et 17.8.3.2.2 pour le calcul de c/y).</t>
  </si>
  <si>
    <t>Spécifiquement pour la situations #3, l'axe neutre élastique de la section brute se situe entre les deux soudures longitudinales de l'âme (voir S6:19 | 17.8.3.2.2 pour le calcul de c/y).</t>
  </si>
  <si>
    <t>En lien avec le dernier paragraphe de S6:19 | 17.12.2, il est considéré que les propriétés des sections affectées par des soudures transversales sont aussi calculées avec la section effective selon S6:19 | 17.8.3.2.</t>
  </si>
  <si>
    <t>Pour les situations #7 à #9 où l'âme est soudée transversalement, celle-ci est divisée en cinq sous-segments de hauteurs égales ayant leur propre y pour optimiser le calcul de c/y (voir S6:19 | 17.8.3.2.2).</t>
  </si>
  <si>
    <t>La résistance des membrures retenues contre le flambement latéral de classe 3 selon S6:19 | 17.12.2 laisse place à une certaine interprétation.</t>
  </si>
  <si>
    <t>Le sous-comité technique du chapitre 17 de S6:19 travaille présentement à améliorer cet article et d'autres qui y sont relié. Entre temps, le chiffrier considère ce qui suit.</t>
  </si>
  <si>
    <t>Z, Zn, S et Sn sont calculés en considérant la plus petite épaisseur effective associée au soudage selon S6:19 | 17.8.3.2.</t>
  </si>
  <si>
    <t>Sm est calculé en considérant la plus petite épaisseur effective associée au soudage et au flambement local selon S6:19 | 17.8.3.</t>
  </si>
  <si>
    <t>Dans le calcul de Sm, l'épaisseur réduite de l'âme affecte le centre de gravité, la distribution des contraintes, le paramètre m de S6:19 | 17.9.1.2.2, λ, λ_, F_ et ultimement l'épaisseur réduite de l'âme.</t>
  </si>
  <si>
    <t>CSA S6:19</t>
  </si>
  <si>
    <t>S6:19</t>
  </si>
  <si>
    <t>S6:19 | 17.12.1</t>
  </si>
  <si>
    <t>S6:19 | 17.9</t>
  </si>
  <si>
    <t>S6:19 | 17.12.3.2</t>
  </si>
  <si>
    <t>S6:19 | 17.12.4.1.2</t>
  </si>
  <si>
    <t>S6:19 | 17.4.2</t>
  </si>
  <si>
    <t>S6:19 | 17.4.1</t>
  </si>
  <si>
    <t>S6:19 | 17.3.2</t>
  </si>
  <si>
    <t>S6:19 | fig. 17.7 + 17.22.3.4.3</t>
  </si>
  <si>
    <t>S6:19 | 17.11.2.3</t>
  </si>
  <si>
    <t>S6:19 | 17.11.2.4</t>
  </si>
  <si>
    <t>S6:19 | 17.8.3.3.1 + voir premier onglet</t>
  </si>
  <si>
    <t>S6:19 | 17.8.3.2.1</t>
  </si>
  <si>
    <t>S6:19 | 17.8.3.2.2</t>
  </si>
  <si>
    <t>S6:19 | 17.8.3</t>
  </si>
  <si>
    <t>S6:19 | 17.8.3.3.1</t>
  </si>
  <si>
    <t>S6:19 | 17.9.1</t>
  </si>
  <si>
    <t>S6:19 | 17.11.2.1</t>
  </si>
  <si>
    <t>S6:19 | 17.9.1.1</t>
  </si>
  <si>
    <t>S6:19 | 17.9.1.2.2</t>
  </si>
  <si>
    <t>S6:19 | 17.3.2 + voir premier onglet pour âme classe 3</t>
  </si>
  <si>
    <t>S6:19 | 17.12.2</t>
  </si>
  <si>
    <t>S6:19 | 17.12.2a)</t>
  </si>
  <si>
    <t>S6:19 | 17.12.2a)i)</t>
  </si>
  <si>
    <t>S6:19 | 17.5.7a)</t>
  </si>
  <si>
    <t>S6:19 | 17.12.2a)ii)</t>
  </si>
  <si>
    <t>S6:19 | 17.5.7b)</t>
  </si>
  <si>
    <t>S6:19 | 17.12.2b)</t>
  </si>
  <si>
    <t>S6:19 | 17.12.2b)i)</t>
  </si>
  <si>
    <t>S6:19 | 17.12.2b)ii)</t>
  </si>
  <si>
    <t>S6:19 | 17.12.2c)</t>
  </si>
  <si>
    <t>S6:19 | 17.12.2c)i)</t>
  </si>
  <si>
    <t>S6:19 | 17.11.2.2</t>
  </si>
  <si>
    <t>S6:19 | 17.11.2.2a)</t>
  </si>
  <si>
    <t>S6:19 | 17.11.2.2b)</t>
  </si>
  <si>
    <t>S6:19 | 17.11.2.2c)</t>
  </si>
  <si>
    <t>S6:19 | 17.11.2.2d)</t>
  </si>
  <si>
    <t>S6:19 | 17.11.2.2e)</t>
  </si>
  <si>
    <t>S6:19 | 17.11.2.2f)</t>
  </si>
  <si>
    <t>S6:19 | 17.8.4.2</t>
  </si>
  <si>
    <t>S6:19 | 17.12.3.2a)</t>
  </si>
  <si>
    <t>S6:19 | 17.9.1.3.2</t>
  </si>
  <si>
    <t>S6:19 | fig. 17.1 c)</t>
  </si>
  <si>
    <t>S6:19 | 17.12.4.1</t>
  </si>
  <si>
    <t>S6:19 | 17.12.4.1.2 et S157-17 | 12.1.2</t>
  </si>
  <si>
    <t>S6:19 | 17.12.4.1.3</t>
  </si>
  <si>
    <t>S6:19 | 17.12.4.1.3a)</t>
  </si>
  <si>
    <t>S6:19 | 17.12.4.1.3b)</t>
  </si>
  <si>
    <t>S6:19 | 17.12.4.1.4a)</t>
  </si>
  <si>
    <t>S6:19 | 17.12.4.1.4</t>
  </si>
  <si>
    <t>S6:19 | 17.12.3.2b)</t>
  </si>
  <si>
    <t>CSA S6.1:19</t>
  </si>
  <si>
    <t>S6.1:19</t>
  </si>
  <si>
    <t>v.1 | 2022-11-11</t>
  </si>
  <si>
    <t>Développé par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</si>
</sst>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 #,##0.00_)\ &quot;$&quot;_ ;_ * \(#,##0.00\)\ &quot;$&quot;_ ;_ * &quot;-&quot;??_)\ &quot;$&quot;_ ;_ @_ "/>
    <numFmt numFmtId="43" formatCode="_ * #,##0.00_)\ _$_ ;_ * \(#,##0.00\)\ _$_ ;_ * &quot;-&quot;??_)\ _$_ ;_ @_ "/>
    <numFmt numFmtId="164" formatCode="_-* #,##0.00\ &quot;$&quot;_-;\-* #,##0.00\ &quot;$&quot;_-;_-* &quot;-&quot;??\ &quot;$&quot;_-;_-@_-"/>
    <numFmt numFmtId="165" formatCode="0.0"/>
  </numFmts>
  <fonts count="19" x14ac:knownFonts="1">
    <font>
      <sz val="11"/>
      <color theme="1"/>
      <name val="Calibri"/>
      <family val="2"/>
      <scheme val="minor"/>
    </font>
    <font>
      <sz val="10"/>
      <name val="Arial"/>
      <family val="2"/>
    </font>
    <font>
      <sz val="10"/>
      <color theme="1"/>
      <name val="Arial"/>
      <family val="2"/>
    </font>
    <font>
      <u/>
      <sz val="10"/>
      <color theme="1"/>
      <name val="Arial"/>
      <family val="2"/>
    </font>
    <font>
      <sz val="11"/>
      <color theme="1"/>
      <name val="Calibri"/>
      <family val="2"/>
      <scheme val="minor"/>
    </font>
    <font>
      <sz val="10"/>
      <name val="Arial"/>
      <family val="2"/>
    </font>
    <font>
      <sz val="10"/>
      <name val="Arial"/>
      <family val="2"/>
    </font>
    <font>
      <sz val="10"/>
      <name val="Arial"/>
      <family val="2"/>
    </font>
    <font>
      <sz val="10"/>
      <name val="Arial"/>
      <family val="2"/>
    </font>
    <font>
      <sz val="8"/>
      <name val="Calibri"/>
      <family val="2"/>
      <scheme val="minor"/>
    </font>
    <font>
      <b/>
      <sz val="10"/>
      <color theme="1"/>
      <name val="Arial"/>
      <family val="2"/>
    </font>
    <font>
      <sz val="14"/>
      <color theme="1"/>
      <name val="Arial"/>
      <family val="2"/>
    </font>
    <font>
      <sz val="9"/>
      <color indexed="81"/>
      <name val="Tahoma"/>
      <family val="2"/>
    </font>
    <font>
      <sz val="10"/>
      <color theme="1"/>
      <name val="Calibri"/>
      <family val="2"/>
    </font>
    <font>
      <sz val="14"/>
      <name val="Arial"/>
      <family val="2"/>
    </font>
    <font>
      <b/>
      <sz val="10"/>
      <name val="Arial"/>
      <family val="2"/>
    </font>
    <font>
      <u/>
      <sz val="10"/>
      <name val="Arial"/>
      <family val="2"/>
    </font>
    <font>
      <vertAlign val="superscript"/>
      <sz val="10"/>
      <name val="Arial"/>
      <family val="2"/>
    </font>
    <font>
      <sz val="10"/>
      <name val="Calibri"/>
      <family val="2"/>
    </font>
  </fonts>
  <fills count="6">
    <fill>
      <patternFill patternType="none"/>
    </fill>
    <fill>
      <patternFill patternType="gray125"/>
    </fill>
    <fill>
      <patternFill patternType="solid">
        <fgColor theme="3" tint="0.79998168889431442"/>
        <bgColor indexed="64"/>
      </patternFill>
    </fill>
    <fill>
      <patternFill patternType="solid">
        <fgColor theme="6" tint="0.79998168889431442"/>
        <bgColor indexed="64"/>
      </patternFill>
    </fill>
    <fill>
      <patternFill patternType="solid">
        <fgColor theme="0" tint="-0.14999847407452621"/>
        <bgColor indexed="64"/>
      </patternFill>
    </fill>
    <fill>
      <patternFill patternType="solid">
        <fgColor theme="7" tint="0.79998168889431442"/>
        <bgColor indexed="64"/>
      </patternFill>
    </fill>
  </fills>
  <borders count="1">
    <border>
      <left/>
      <right/>
      <top/>
      <bottom/>
      <diagonal/>
    </border>
  </borders>
  <cellStyleXfs count="16">
    <xf numFmtId="0" fontId="0" fillId="0" borderId="0"/>
    <xf numFmtId="0" fontId="5" fillId="0" borderId="0"/>
    <xf numFmtId="164" fontId="1"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1" fillId="0" borderId="0" applyFont="0" applyFill="0" applyBorder="0" applyAlignment="0" applyProtection="0"/>
    <xf numFmtId="0" fontId="4" fillId="0" borderId="0"/>
    <xf numFmtId="0" fontId="4" fillId="0" borderId="0"/>
    <xf numFmtId="0" fontId="6" fillId="0" borderId="0"/>
    <xf numFmtId="0" fontId="1" fillId="0" borderId="0"/>
    <xf numFmtId="43" fontId="1" fillId="0" borderId="0" applyFont="0" applyFill="0" applyBorder="0" applyAlignment="0" applyProtection="0"/>
    <xf numFmtId="0" fontId="1" fillId="0" borderId="0"/>
    <xf numFmtId="0" fontId="7" fillId="0" borderId="0"/>
    <xf numFmtId="0" fontId="1" fillId="0" borderId="0"/>
    <xf numFmtId="0" fontId="8" fillId="0" borderId="0"/>
    <xf numFmtId="9" fontId="4" fillId="0" borderId="0" applyFont="0" applyFill="0" applyBorder="0" applyAlignment="0" applyProtection="0"/>
  </cellStyleXfs>
  <cellXfs count="83">
    <xf numFmtId="0" fontId="0" fillId="0" borderId="0" xfId="0"/>
    <xf numFmtId="0" fontId="1" fillId="0" borderId="0" xfId="0" applyNumberFormat="1" applyFont="1" applyFill="1" applyBorder="1" applyAlignment="1"/>
    <xf numFmtId="0" fontId="2" fillId="0" borderId="0" xfId="0" applyFont="1"/>
    <xf numFmtId="1" fontId="2" fillId="0" borderId="0" xfId="0" applyNumberFormat="1" applyFont="1" applyAlignment="1">
      <alignment horizontal="center"/>
    </xf>
    <xf numFmtId="0" fontId="1" fillId="0" borderId="0" xfId="0" applyNumberFormat="1" applyFont="1" applyFill="1" applyBorder="1" applyAlignment="1">
      <alignment horizontal="center"/>
    </xf>
    <xf numFmtId="0" fontId="2" fillId="0" borderId="0" xfId="0" applyFont="1" applyAlignment="1">
      <alignment horizontal="center"/>
    </xf>
    <xf numFmtId="1" fontId="2" fillId="0" borderId="0" xfId="0" applyNumberFormat="1" applyFont="1" applyFill="1" applyAlignment="1">
      <alignment horizontal="center"/>
    </xf>
    <xf numFmtId="1" fontId="1" fillId="0" borderId="0" xfId="0" applyNumberFormat="1" applyFont="1" applyAlignment="1">
      <alignment horizontal="center"/>
    </xf>
    <xf numFmtId="2" fontId="1" fillId="0" borderId="0" xfId="0" applyNumberFormat="1" applyFont="1" applyAlignment="1">
      <alignment horizontal="center"/>
    </xf>
    <xf numFmtId="0" fontId="1" fillId="0" borderId="0" xfId="0" quotePrefix="1" applyFont="1" applyAlignment="1">
      <alignment horizontal="center"/>
    </xf>
    <xf numFmtId="2" fontId="1" fillId="0" borderId="0" xfId="0" applyNumberFormat="1" applyFont="1" applyFill="1" applyAlignment="1">
      <alignment horizontal="center"/>
    </xf>
    <xf numFmtId="165" fontId="1" fillId="0" borderId="0" xfId="0" applyNumberFormat="1" applyFont="1" applyFill="1" applyBorder="1" applyAlignment="1">
      <alignment horizontal="center"/>
    </xf>
    <xf numFmtId="0" fontId="11" fillId="0" borderId="0" xfId="0" applyFont="1" applyAlignment="1"/>
    <xf numFmtId="0" fontId="2" fillId="0" borderId="0" xfId="0" applyFont="1" applyAlignment="1"/>
    <xf numFmtId="0" fontId="2" fillId="3" borderId="0" xfId="0" applyFont="1" applyFill="1" applyAlignment="1"/>
    <xf numFmtId="0" fontId="2" fillId="2" borderId="0" xfId="0" applyFont="1" applyFill="1" applyAlignment="1"/>
    <xf numFmtId="0" fontId="10" fillId="0" borderId="0" xfId="0" applyFont="1" applyAlignment="1"/>
    <xf numFmtId="0" fontId="2" fillId="0" borderId="0" xfId="0" applyFont="1" applyFill="1" applyAlignment="1"/>
    <xf numFmtId="0" fontId="1" fillId="4" borderId="0" xfId="0" applyFont="1" applyFill="1" applyAlignment="1"/>
    <xf numFmtId="11" fontId="1" fillId="4" borderId="0" xfId="0" applyNumberFormat="1" applyFont="1" applyFill="1" applyAlignment="1"/>
    <xf numFmtId="0" fontId="1" fillId="0" borderId="0" xfId="0" applyFont="1" applyAlignment="1"/>
    <xf numFmtId="0" fontId="1" fillId="0" borderId="0" xfId="0" applyFont="1" applyFill="1" applyAlignment="1"/>
    <xf numFmtId="0" fontId="2" fillId="0" borderId="0" xfId="0" quotePrefix="1" applyFont="1" applyAlignment="1"/>
    <xf numFmtId="14" fontId="2" fillId="0" borderId="0" xfId="0" applyNumberFormat="1" applyFont="1" applyAlignment="1"/>
    <xf numFmtId="165" fontId="2" fillId="0" borderId="0" xfId="0" applyNumberFormat="1" applyFont="1" applyFill="1" applyAlignment="1">
      <alignment horizontal="center"/>
    </xf>
    <xf numFmtId="165" fontId="2" fillId="0" borderId="0" xfId="0" applyNumberFormat="1" applyFont="1" applyAlignment="1">
      <alignment horizontal="center"/>
    </xf>
    <xf numFmtId="0" fontId="2" fillId="0" borderId="0" xfId="0" applyFont="1" applyAlignment="1">
      <alignment horizontal="center"/>
    </xf>
    <xf numFmtId="0" fontId="2" fillId="0" borderId="0" xfId="0" applyFont="1" applyAlignment="1">
      <alignment horizontal="center"/>
    </xf>
    <xf numFmtId="0" fontId="3" fillId="0" borderId="0" xfId="0" applyFont="1"/>
    <xf numFmtId="0" fontId="2" fillId="0" borderId="0" xfId="0" applyFont="1" applyAlignment="1">
      <alignment horizontal="center"/>
    </xf>
    <xf numFmtId="0" fontId="2" fillId="4" borderId="0" xfId="0" applyFont="1" applyFill="1"/>
    <xf numFmtId="165" fontId="2" fillId="4" borderId="0" xfId="0" applyNumberFormat="1" applyFont="1" applyFill="1" applyAlignment="1">
      <alignment horizontal="center"/>
    </xf>
    <xf numFmtId="0" fontId="2" fillId="4" borderId="0" xfId="0" applyFont="1" applyFill="1" applyAlignment="1">
      <alignment horizontal="center"/>
    </xf>
    <xf numFmtId="0" fontId="2" fillId="0" borderId="0" xfId="0" applyFont="1" applyFill="1"/>
    <xf numFmtId="0" fontId="1" fillId="0" borderId="0" xfId="0" applyFont="1" applyAlignment="1">
      <alignment horizontal="center"/>
    </xf>
    <xf numFmtId="0" fontId="1" fillId="0" borderId="0" xfId="0" quotePrefix="1" applyFont="1" applyAlignment="1">
      <alignment horizontal="center" wrapText="1"/>
    </xf>
    <xf numFmtId="0" fontId="14" fillId="0" borderId="0" xfId="0" applyFont="1" applyAlignment="1"/>
    <xf numFmtId="0" fontId="15" fillId="0" borderId="0" xfId="0" applyFont="1" applyAlignment="1"/>
    <xf numFmtId="0" fontId="1" fillId="0" borderId="0" xfId="0" applyFont="1" applyBorder="1" applyAlignment="1"/>
    <xf numFmtId="0" fontId="16" fillId="0" borderId="0" xfId="0" applyFont="1" applyAlignment="1"/>
    <xf numFmtId="2" fontId="1" fillId="0" borderId="0" xfId="0" applyNumberFormat="1" applyFont="1" applyFill="1" applyBorder="1" applyAlignment="1">
      <alignment horizontal="center"/>
    </xf>
    <xf numFmtId="0" fontId="1" fillId="4" borderId="0" xfId="0" applyNumberFormat="1" applyFont="1" applyFill="1" applyBorder="1" applyAlignment="1"/>
    <xf numFmtId="0" fontId="1" fillId="3" borderId="0" xfId="0" applyNumberFormat="1" applyFont="1" applyFill="1" applyBorder="1" applyAlignment="1">
      <alignment horizontal="center"/>
    </xf>
    <xf numFmtId="0" fontId="1" fillId="0" borderId="0" xfId="0" applyNumberFormat="1" applyFont="1" applyBorder="1" applyAlignment="1"/>
    <xf numFmtId="0" fontId="1" fillId="3" borderId="0" xfId="0" applyNumberFormat="1" applyFont="1" applyFill="1" applyAlignment="1">
      <alignment horizontal="center"/>
    </xf>
    <xf numFmtId="1" fontId="1" fillId="0" borderId="0" xfId="0" applyNumberFormat="1" applyFont="1" applyFill="1" applyAlignment="1">
      <alignment horizontal="center"/>
    </xf>
    <xf numFmtId="165" fontId="1" fillId="3" borderId="0" xfId="0" quotePrefix="1" applyNumberFormat="1" applyFont="1" applyFill="1" applyAlignment="1">
      <alignment horizontal="center"/>
    </xf>
    <xf numFmtId="165" fontId="1" fillId="3" borderId="0" xfId="0" applyNumberFormat="1" applyFont="1" applyFill="1" applyBorder="1" applyAlignment="1">
      <alignment horizontal="center"/>
    </xf>
    <xf numFmtId="11" fontId="1" fillId="0" borderId="0" xfId="0" applyNumberFormat="1" applyFont="1" applyAlignment="1">
      <alignment horizontal="center"/>
    </xf>
    <xf numFmtId="165" fontId="1" fillId="0" borderId="0" xfId="0" applyNumberFormat="1" applyFont="1" applyFill="1" applyAlignment="1">
      <alignment horizontal="center"/>
    </xf>
    <xf numFmtId="0" fontId="1" fillId="0" borderId="0" xfId="0" applyFont="1" applyFill="1" applyAlignment="1">
      <alignment horizontal="center"/>
    </xf>
    <xf numFmtId="2" fontId="1" fillId="0" borderId="0" xfId="0" applyNumberFormat="1" applyFont="1" applyBorder="1" applyAlignment="1">
      <alignment horizontal="center"/>
    </xf>
    <xf numFmtId="11" fontId="1" fillId="2" borderId="0" xfId="0" applyNumberFormat="1" applyFont="1" applyFill="1" applyAlignment="1">
      <alignment horizontal="center"/>
    </xf>
    <xf numFmtId="0" fontId="16" fillId="0" borderId="0" xfId="0" applyFont="1" applyFill="1" applyAlignment="1"/>
    <xf numFmtId="0" fontId="15" fillId="0" borderId="0" xfId="0" applyFont="1" applyFill="1" applyAlignment="1"/>
    <xf numFmtId="0" fontId="1" fillId="0" borderId="0" xfId="0" applyFont="1" applyFill="1" applyBorder="1" applyAlignment="1"/>
    <xf numFmtId="11" fontId="1" fillId="0" borderId="0" xfId="0" applyNumberFormat="1" applyFont="1" applyFill="1" applyAlignment="1">
      <alignment horizontal="center"/>
    </xf>
    <xf numFmtId="1" fontId="1" fillId="0" borderId="0" xfId="0" applyNumberFormat="1" applyFont="1" applyBorder="1" applyAlignment="1">
      <alignment horizontal="center"/>
    </xf>
    <xf numFmtId="0" fontId="1" fillId="0" borderId="0" xfId="0" applyNumberFormat="1" applyFont="1" applyBorder="1" applyAlignment="1">
      <alignment horizontal="center"/>
    </xf>
    <xf numFmtId="0" fontId="1" fillId="4" borderId="0" xfId="0" applyFont="1" applyFill="1" applyBorder="1" applyAlignment="1"/>
    <xf numFmtId="0" fontId="1" fillId="0" borderId="0" xfId="0" applyFont="1" applyBorder="1" applyAlignment="1">
      <alignment horizontal="center"/>
    </xf>
    <xf numFmtId="1" fontId="1" fillId="0" borderId="0" xfId="0" applyNumberFormat="1" applyFont="1" applyFill="1" applyBorder="1" applyAlignment="1">
      <alignment horizontal="center"/>
    </xf>
    <xf numFmtId="1" fontId="1" fillId="2" borderId="0" xfId="0" applyNumberFormat="1" applyFont="1" applyFill="1" applyBorder="1" applyAlignment="1">
      <alignment horizontal="center"/>
    </xf>
    <xf numFmtId="2" fontId="1" fillId="2" borderId="0" xfId="0" applyNumberFormat="1" applyFont="1" applyFill="1" applyAlignment="1">
      <alignment horizontal="center"/>
    </xf>
    <xf numFmtId="2" fontId="1" fillId="2" borderId="0" xfId="0" quotePrefix="1" applyNumberFormat="1" applyFont="1" applyFill="1" applyAlignment="1">
      <alignment horizontal="center"/>
    </xf>
    <xf numFmtId="1" fontId="1" fillId="2" borderId="0" xfId="0" applyNumberFormat="1" applyFont="1" applyFill="1" applyAlignment="1">
      <alignment horizontal="center"/>
    </xf>
    <xf numFmtId="165" fontId="1" fillId="2" borderId="0" xfId="0" applyNumberFormat="1" applyFont="1" applyFill="1" applyBorder="1" applyAlignment="1">
      <alignment horizontal="center"/>
    </xf>
    <xf numFmtId="1" fontId="1" fillId="2" borderId="0" xfId="0" quotePrefix="1" applyNumberFormat="1" applyFont="1" applyFill="1" applyBorder="1" applyAlignment="1">
      <alignment horizontal="center"/>
    </xf>
    <xf numFmtId="0" fontId="1" fillId="0" borderId="0" xfId="0" quotePrefix="1" applyNumberFormat="1" applyFont="1" applyFill="1" applyAlignment="1">
      <alignment horizontal="center"/>
    </xf>
    <xf numFmtId="0" fontId="2" fillId="0" borderId="0" xfId="0" applyFont="1" applyAlignment="1">
      <alignment horizontal="center"/>
    </xf>
    <xf numFmtId="0" fontId="2" fillId="0" borderId="0" xfId="0" applyFont="1" applyAlignment="1">
      <alignment horizontal="center"/>
    </xf>
    <xf numFmtId="1" fontId="1" fillId="0" borderId="0" xfId="0" quotePrefix="1" applyNumberFormat="1" applyFont="1" applyFill="1" applyAlignment="1">
      <alignment horizontal="center"/>
    </xf>
    <xf numFmtId="1" fontId="1" fillId="3" borderId="0" xfId="0" quotePrefix="1" applyNumberFormat="1" applyFont="1" applyFill="1" applyAlignment="1">
      <alignment horizontal="center"/>
    </xf>
    <xf numFmtId="0" fontId="2" fillId="0" borderId="0" xfId="0" applyFont="1" applyAlignment="1">
      <alignment horizontal="center"/>
    </xf>
    <xf numFmtId="0" fontId="2" fillId="5" borderId="0" xfId="0" applyFont="1" applyFill="1" applyAlignment="1"/>
    <xf numFmtId="0" fontId="2" fillId="0" borderId="0" xfId="0" applyFont="1" applyAlignment="1">
      <alignment horizontal="center"/>
    </xf>
    <xf numFmtId="0" fontId="2" fillId="0" borderId="0" xfId="0" applyFont="1" applyFill="1" applyAlignment="1">
      <alignment horizontal="center"/>
    </xf>
    <xf numFmtId="2" fontId="1" fillId="0" borderId="0" xfId="0" quotePrefix="1" applyNumberFormat="1" applyFont="1" applyFill="1" applyAlignment="1">
      <alignment horizontal="center"/>
    </xf>
    <xf numFmtId="2" fontId="1" fillId="2" borderId="0" xfId="0" applyNumberFormat="1" applyFont="1" applyFill="1" applyBorder="1" applyAlignment="1">
      <alignment horizontal="center"/>
    </xf>
    <xf numFmtId="1" fontId="1" fillId="5" borderId="0" xfId="0" applyNumberFormat="1" applyFont="1" applyFill="1" applyAlignment="1">
      <alignment horizontal="center"/>
    </xf>
    <xf numFmtId="9" fontId="1" fillId="0" borderId="0" xfId="15" applyFont="1" applyFill="1" applyAlignment="1">
      <alignment horizontal="center"/>
    </xf>
    <xf numFmtId="14" fontId="2" fillId="0" borderId="0" xfId="0" applyNumberFormat="1" applyFont="1" applyFill="1" applyAlignment="1"/>
    <xf numFmtId="0" fontId="2" fillId="0" borderId="0" xfId="0" applyFont="1" applyAlignment="1">
      <alignment horizontal="center"/>
    </xf>
  </cellXfs>
  <cellStyles count="16">
    <cellStyle name="Milliers 2" xfId="10" xr:uid="{00000000-0005-0000-0000-000001000000}"/>
    <cellStyle name="Monétaire 2" xfId="2" xr:uid="{00000000-0005-0000-0000-000002000000}"/>
    <cellStyle name="Monétaire 3" xfId="3" xr:uid="{00000000-0005-0000-0000-000003000000}"/>
    <cellStyle name="Monétaire 3 2" xfId="4" xr:uid="{00000000-0005-0000-0000-000004000000}"/>
    <cellStyle name="Monétaire 4" xfId="5" xr:uid="{00000000-0005-0000-0000-000005000000}"/>
    <cellStyle name="Normal" xfId="0" builtinId="0"/>
    <cellStyle name="Normal 2" xfId="1" xr:uid="{00000000-0005-0000-0000-000007000000}"/>
    <cellStyle name="Normal 2 2" xfId="9" xr:uid="{00000000-0005-0000-0000-000008000000}"/>
    <cellStyle name="Normal 3" xfId="6" xr:uid="{00000000-0005-0000-0000-000009000000}"/>
    <cellStyle name="Normal 3 2" xfId="7" xr:uid="{00000000-0005-0000-0000-00000A000000}"/>
    <cellStyle name="Normal 4" xfId="8" xr:uid="{00000000-0005-0000-0000-00000B000000}"/>
    <cellStyle name="Normal 4 2" xfId="11" xr:uid="{00000000-0005-0000-0000-00000C000000}"/>
    <cellStyle name="Normal 5" xfId="12" xr:uid="{00000000-0005-0000-0000-00000D000000}"/>
    <cellStyle name="Normal 5 2" xfId="13" xr:uid="{00000000-0005-0000-0000-00000E000000}"/>
    <cellStyle name="Normal 6" xfId="14" xr:uid="{A170641D-D244-49DD-911D-2487DBB76687}"/>
    <cellStyle name="Pourcentage" xfId="15"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3.1101805555555556E-2"/>
          <c:y val="1.9402777777777779E-2"/>
          <c:w val="0.94022625000000004"/>
          <c:h val="0.96119444444444446"/>
        </c:manualLayout>
      </c:layout>
      <c:scatterChart>
        <c:scatterStyle val="lineMarker"/>
        <c:varyColors val="0"/>
        <c:ser>
          <c:idx val="2"/>
          <c:order val="0"/>
          <c:spPr>
            <a:ln w="0" cap="rnd">
              <a:solidFill>
                <a:schemeClr val="tx1"/>
              </a:solidFill>
              <a:round/>
            </a:ln>
            <a:effectLst/>
          </c:spPr>
          <c:marker>
            <c:symbol val="none"/>
          </c:marker>
          <c:xVal>
            <c:numRef>
              <c:f>'Section soudée'!$AH$5:$AH$23</c:f>
              <c:numCache>
                <c:formatCode>0.0</c:formatCode>
                <c:ptCount val="19"/>
                <c:pt idx="0">
                  <c:v>0</c:v>
                </c:pt>
                <c:pt idx="1">
                  <c:v>-350</c:v>
                </c:pt>
                <c:pt idx="2">
                  <c:v>-350</c:v>
                </c:pt>
                <c:pt idx="3">
                  <c:v>350</c:v>
                </c:pt>
                <c:pt idx="4">
                  <c:v>350</c:v>
                </c:pt>
                <c:pt idx="5">
                  <c:v>0</c:v>
                </c:pt>
              </c:numCache>
            </c:numRef>
          </c:xVal>
          <c:yVal>
            <c:numRef>
              <c:f>'Section soudée'!$AI$5:$AI$23</c:f>
              <c:numCache>
                <c:formatCode>0.0</c:formatCode>
                <c:ptCount val="19"/>
                <c:pt idx="0">
                  <c:v>-70</c:v>
                </c:pt>
                <c:pt idx="1">
                  <c:v>-70</c:v>
                </c:pt>
                <c:pt idx="2">
                  <c:v>630</c:v>
                </c:pt>
                <c:pt idx="3">
                  <c:v>630</c:v>
                </c:pt>
                <c:pt idx="4">
                  <c:v>-70</c:v>
                </c:pt>
                <c:pt idx="5">
                  <c:v>-70</c:v>
                </c:pt>
              </c:numCache>
            </c:numRef>
          </c:yVal>
          <c:smooth val="0"/>
          <c:extLst>
            <c:ext xmlns:c16="http://schemas.microsoft.com/office/drawing/2014/chart" uri="{C3380CC4-5D6E-409C-BE32-E72D297353CC}">
              <c16:uniqueId val="{00000000-EB93-4FD6-9EA2-65CEAB34FAB3}"/>
            </c:ext>
          </c:extLst>
        </c:ser>
        <c:ser>
          <c:idx val="7"/>
          <c:order val="1"/>
          <c:tx>
            <c:v>Section plastique</c:v>
          </c:tx>
          <c:spPr>
            <a:ln w="19050" cap="rnd">
              <a:solidFill>
                <a:srgbClr val="FFC000"/>
              </a:solidFill>
              <a:round/>
            </a:ln>
            <a:effectLst/>
          </c:spPr>
          <c:marker>
            <c:symbol val="none"/>
          </c:marker>
          <c:xVal>
            <c:numRef>
              <c:f>'Section soudée'!$AH$57:$AH$79</c:f>
              <c:numCache>
                <c:formatCode>0.0</c:formatCode>
                <c:ptCount val="23"/>
                <c:pt idx="0">
                  <c:v>0</c:v>
                </c:pt>
                <c:pt idx="1">
                  <c:v>-8</c:v>
                </c:pt>
                <c:pt idx="2">
                  <c:v>-8</c:v>
                </c:pt>
                <c:pt idx="3">
                  <c:v>-125</c:v>
                </c:pt>
                <c:pt idx="4">
                  <c:v>-125</c:v>
                </c:pt>
                <c:pt idx="5">
                  <c:v>-8</c:v>
                </c:pt>
                <c:pt idx="6">
                  <c:v>-8</c:v>
                </c:pt>
                <c:pt idx="7">
                  <c:v>0</c:v>
                </c:pt>
                <c:pt idx="8">
                  <c:v>8</c:v>
                </c:pt>
                <c:pt idx="9">
                  <c:v>8</c:v>
                </c:pt>
                <c:pt idx="10">
                  <c:v>125</c:v>
                </c:pt>
                <c:pt idx="11">
                  <c:v>125</c:v>
                </c:pt>
                <c:pt idx="12">
                  <c:v>8</c:v>
                </c:pt>
                <c:pt idx="13">
                  <c:v>8</c:v>
                </c:pt>
                <c:pt idx="14">
                  <c:v>0</c:v>
                </c:pt>
              </c:numCache>
            </c:numRef>
          </c:xVal>
          <c:yVal>
            <c:numRef>
              <c:f>'Section soudée'!$AI$57:$AI$79</c:f>
              <c:numCache>
                <c:formatCode>0.0</c:formatCode>
                <c:ptCount val="23"/>
                <c:pt idx="0">
                  <c:v>560</c:v>
                </c:pt>
                <c:pt idx="1">
                  <c:v>560</c:v>
                </c:pt>
                <c:pt idx="2">
                  <c:v>560</c:v>
                </c:pt>
                <c:pt idx="3">
                  <c:v>560</c:v>
                </c:pt>
                <c:pt idx="4">
                  <c:v>580</c:v>
                </c:pt>
                <c:pt idx="5">
                  <c:v>580</c:v>
                </c:pt>
                <c:pt idx="6">
                  <c:v>580</c:v>
                </c:pt>
                <c:pt idx="7">
                  <c:v>580</c:v>
                </c:pt>
                <c:pt idx="8">
                  <c:v>580</c:v>
                </c:pt>
                <c:pt idx="9">
                  <c:v>580</c:v>
                </c:pt>
                <c:pt idx="10">
                  <c:v>580</c:v>
                </c:pt>
                <c:pt idx="11">
                  <c:v>560</c:v>
                </c:pt>
                <c:pt idx="12">
                  <c:v>560</c:v>
                </c:pt>
                <c:pt idx="13">
                  <c:v>560</c:v>
                </c:pt>
                <c:pt idx="14">
                  <c:v>560</c:v>
                </c:pt>
              </c:numCache>
            </c:numRef>
          </c:yVal>
          <c:smooth val="0"/>
          <c:extLst>
            <c:ext xmlns:c16="http://schemas.microsoft.com/office/drawing/2014/chart" uri="{C3380CC4-5D6E-409C-BE32-E72D297353CC}">
              <c16:uniqueId val="{00000001-EB93-4FD6-9EA2-65CEAB34FAB3}"/>
            </c:ext>
          </c:extLst>
        </c:ser>
        <c:ser>
          <c:idx val="8"/>
          <c:order val="2"/>
          <c:spPr>
            <a:ln w="19050" cap="rnd">
              <a:solidFill>
                <a:srgbClr val="FFC000"/>
              </a:solidFill>
              <a:round/>
            </a:ln>
            <a:effectLst/>
          </c:spPr>
          <c:marker>
            <c:symbol val="none"/>
          </c:marker>
          <c:xVal>
            <c:numRef>
              <c:f>'Section soudée'!$AJ$57:$AJ$83</c:f>
              <c:numCache>
                <c:formatCode>0.0</c:formatCode>
                <c:ptCount val="27"/>
                <c:pt idx="0">
                  <c:v>0</c:v>
                </c:pt>
                <c:pt idx="1">
                  <c:v>0</c:v>
                </c:pt>
                <c:pt idx="2">
                  <c:v>0</c:v>
                </c:pt>
                <c:pt idx="3">
                  <c:v>0</c:v>
                </c:pt>
                <c:pt idx="4">
                  <c:v>0</c:v>
                </c:pt>
                <c:pt idx="5">
                  <c:v>0</c:v>
                </c:pt>
                <c:pt idx="6">
                  <c:v>0</c:v>
                </c:pt>
                <c:pt idx="7">
                  <c:v>0</c:v>
                </c:pt>
                <c:pt idx="8">
                  <c:v>0</c:v>
                </c:pt>
                <c:pt idx="9">
                  <c:v>0</c:v>
                </c:pt>
                <c:pt idx="10">
                  <c:v>0</c:v>
                </c:pt>
                <c:pt idx="11">
                  <c:v>-8</c:v>
                </c:pt>
                <c:pt idx="12">
                  <c:v>-8</c:v>
                </c:pt>
                <c:pt idx="13">
                  <c:v>0</c:v>
                </c:pt>
                <c:pt idx="14">
                  <c:v>8</c:v>
                </c:pt>
                <c:pt idx="15">
                  <c:v>8</c:v>
                </c:pt>
                <c:pt idx="16">
                  <c:v>0</c:v>
                </c:pt>
                <c:pt idx="17">
                  <c:v>0</c:v>
                </c:pt>
                <c:pt idx="18">
                  <c:v>0</c:v>
                </c:pt>
                <c:pt idx="19">
                  <c:v>0</c:v>
                </c:pt>
                <c:pt idx="20">
                  <c:v>0</c:v>
                </c:pt>
                <c:pt idx="21">
                  <c:v>0</c:v>
                </c:pt>
                <c:pt idx="22">
                  <c:v>0</c:v>
                </c:pt>
                <c:pt idx="23">
                  <c:v>0</c:v>
                </c:pt>
                <c:pt idx="24">
                  <c:v>0</c:v>
                </c:pt>
                <c:pt idx="25">
                  <c:v>0</c:v>
                </c:pt>
                <c:pt idx="26">
                  <c:v>0</c:v>
                </c:pt>
              </c:numCache>
            </c:numRef>
          </c:xVal>
          <c:yVal>
            <c:numRef>
              <c:f>'Section soudée'!$AK$57:$AK$83</c:f>
              <c:numCache>
                <c:formatCode>0.0</c:formatCode>
                <c:ptCount val="27"/>
                <c:pt idx="0">
                  <c:v>0</c:v>
                </c:pt>
                <c:pt idx="1">
                  <c:v>0</c:v>
                </c:pt>
                <c:pt idx="2">
                  <c:v>0</c:v>
                </c:pt>
                <c:pt idx="3">
                  <c:v>0</c:v>
                </c:pt>
                <c:pt idx="4">
                  <c:v>0</c:v>
                </c:pt>
                <c:pt idx="5">
                  <c:v>0</c:v>
                </c:pt>
                <c:pt idx="6">
                  <c:v>0</c:v>
                </c:pt>
                <c:pt idx="7">
                  <c:v>0</c:v>
                </c:pt>
                <c:pt idx="8">
                  <c:v>0</c:v>
                </c:pt>
                <c:pt idx="9">
                  <c:v>0</c:v>
                </c:pt>
                <c:pt idx="10">
                  <c:v>0</c:v>
                </c:pt>
                <c:pt idx="11">
                  <c:v>0</c:v>
                </c:pt>
                <c:pt idx="12">
                  <c:v>560</c:v>
                </c:pt>
                <c:pt idx="13">
                  <c:v>560</c:v>
                </c:pt>
                <c:pt idx="14">
                  <c:v>560</c:v>
                </c:pt>
                <c:pt idx="15">
                  <c:v>0</c:v>
                </c:pt>
                <c:pt idx="16">
                  <c:v>0</c:v>
                </c:pt>
                <c:pt idx="17">
                  <c:v>0</c:v>
                </c:pt>
                <c:pt idx="18">
                  <c:v>0</c:v>
                </c:pt>
                <c:pt idx="19">
                  <c:v>0</c:v>
                </c:pt>
                <c:pt idx="20">
                  <c:v>0</c:v>
                </c:pt>
                <c:pt idx="21">
                  <c:v>0</c:v>
                </c:pt>
                <c:pt idx="22">
                  <c:v>0</c:v>
                </c:pt>
                <c:pt idx="23">
                  <c:v>0</c:v>
                </c:pt>
                <c:pt idx="24">
                  <c:v>0</c:v>
                </c:pt>
                <c:pt idx="25">
                  <c:v>0</c:v>
                </c:pt>
                <c:pt idx="26">
                  <c:v>0</c:v>
                </c:pt>
              </c:numCache>
            </c:numRef>
          </c:yVal>
          <c:smooth val="0"/>
          <c:extLst>
            <c:ext xmlns:c16="http://schemas.microsoft.com/office/drawing/2014/chart" uri="{C3380CC4-5D6E-409C-BE32-E72D297353CC}">
              <c16:uniqueId val="{00000002-EB93-4FD6-9EA2-65CEAB34FAB3}"/>
            </c:ext>
          </c:extLst>
        </c:ser>
        <c:ser>
          <c:idx val="9"/>
          <c:order val="3"/>
          <c:tx>
            <c:v>plast</c:v>
          </c:tx>
          <c:spPr>
            <a:ln w="19050" cap="rnd">
              <a:solidFill>
                <a:srgbClr val="FFC000"/>
              </a:solidFill>
              <a:round/>
            </a:ln>
            <a:effectLst/>
          </c:spPr>
          <c:marker>
            <c:symbol val="none"/>
          </c:marker>
          <c:xVal>
            <c:numRef>
              <c:f>'Section soudée'!$AL$57:$AL$79</c:f>
              <c:numCache>
                <c:formatCode>0.0</c:formatCode>
                <c:ptCount val="23"/>
                <c:pt idx="0">
                  <c:v>0</c:v>
                </c:pt>
                <c:pt idx="1">
                  <c:v>-8</c:v>
                </c:pt>
                <c:pt idx="2">
                  <c:v>-8</c:v>
                </c:pt>
                <c:pt idx="3">
                  <c:v>-125</c:v>
                </c:pt>
                <c:pt idx="4">
                  <c:v>-125</c:v>
                </c:pt>
                <c:pt idx="5">
                  <c:v>-8</c:v>
                </c:pt>
                <c:pt idx="6">
                  <c:v>-8</c:v>
                </c:pt>
                <c:pt idx="7">
                  <c:v>0</c:v>
                </c:pt>
                <c:pt idx="8">
                  <c:v>8</c:v>
                </c:pt>
                <c:pt idx="9">
                  <c:v>8</c:v>
                </c:pt>
                <c:pt idx="10">
                  <c:v>125</c:v>
                </c:pt>
                <c:pt idx="11">
                  <c:v>125</c:v>
                </c:pt>
                <c:pt idx="12">
                  <c:v>8</c:v>
                </c:pt>
                <c:pt idx="13">
                  <c:v>8</c:v>
                </c:pt>
                <c:pt idx="14">
                  <c:v>0</c:v>
                </c:pt>
              </c:numCache>
            </c:numRef>
          </c:xVal>
          <c:yVal>
            <c:numRef>
              <c:f>'Section soudée'!$AM$57:$AM$79</c:f>
              <c:numCache>
                <c:formatCode>0.0</c:formatCode>
                <c:ptCount val="23"/>
                <c:pt idx="0">
                  <c:v>0</c:v>
                </c:pt>
                <c:pt idx="1">
                  <c:v>0</c:v>
                </c:pt>
                <c:pt idx="2">
                  <c:v>0</c:v>
                </c:pt>
                <c:pt idx="3">
                  <c:v>0</c:v>
                </c:pt>
                <c:pt idx="4">
                  <c:v>-20</c:v>
                </c:pt>
                <c:pt idx="5">
                  <c:v>-20</c:v>
                </c:pt>
                <c:pt idx="6">
                  <c:v>-20</c:v>
                </c:pt>
                <c:pt idx="7">
                  <c:v>-20</c:v>
                </c:pt>
                <c:pt idx="8">
                  <c:v>-20</c:v>
                </c:pt>
                <c:pt idx="9">
                  <c:v>-20</c:v>
                </c:pt>
                <c:pt idx="10">
                  <c:v>-20</c:v>
                </c:pt>
                <c:pt idx="11">
                  <c:v>0</c:v>
                </c:pt>
                <c:pt idx="12">
                  <c:v>0</c:v>
                </c:pt>
                <c:pt idx="13">
                  <c:v>0</c:v>
                </c:pt>
                <c:pt idx="14">
                  <c:v>0</c:v>
                </c:pt>
              </c:numCache>
            </c:numRef>
          </c:yVal>
          <c:smooth val="0"/>
          <c:extLst>
            <c:ext xmlns:c16="http://schemas.microsoft.com/office/drawing/2014/chart" uri="{C3380CC4-5D6E-409C-BE32-E72D297353CC}">
              <c16:uniqueId val="{00000003-EB93-4FD6-9EA2-65CEAB34FAB3}"/>
            </c:ext>
          </c:extLst>
        </c:ser>
        <c:ser>
          <c:idx val="4"/>
          <c:order val="4"/>
          <c:tx>
            <c:v>Section élastique</c:v>
          </c:tx>
          <c:spPr>
            <a:ln w="19050" cap="rnd">
              <a:solidFill>
                <a:srgbClr val="00B0F0"/>
              </a:solidFill>
              <a:round/>
            </a:ln>
            <a:effectLst/>
          </c:spPr>
          <c:marker>
            <c:symbol val="none"/>
          </c:marker>
          <c:xVal>
            <c:numRef>
              <c:f>'Section soudée'!$AH$87:$AH$109</c:f>
              <c:numCache>
                <c:formatCode>0.0</c:formatCode>
                <c:ptCount val="23"/>
                <c:pt idx="0">
                  <c:v>0</c:v>
                </c:pt>
                <c:pt idx="1">
                  <c:v>-8</c:v>
                </c:pt>
                <c:pt idx="2">
                  <c:v>-8</c:v>
                </c:pt>
                <c:pt idx="3">
                  <c:v>-125</c:v>
                </c:pt>
                <c:pt idx="4">
                  <c:v>-125</c:v>
                </c:pt>
                <c:pt idx="5">
                  <c:v>-8</c:v>
                </c:pt>
                <c:pt idx="6">
                  <c:v>-8</c:v>
                </c:pt>
                <c:pt idx="7">
                  <c:v>0</c:v>
                </c:pt>
                <c:pt idx="8">
                  <c:v>8</c:v>
                </c:pt>
                <c:pt idx="9">
                  <c:v>8</c:v>
                </c:pt>
                <c:pt idx="10">
                  <c:v>125</c:v>
                </c:pt>
                <c:pt idx="11">
                  <c:v>125</c:v>
                </c:pt>
                <c:pt idx="12">
                  <c:v>8</c:v>
                </c:pt>
                <c:pt idx="13">
                  <c:v>8</c:v>
                </c:pt>
                <c:pt idx="14">
                  <c:v>0</c:v>
                </c:pt>
              </c:numCache>
            </c:numRef>
          </c:xVal>
          <c:yVal>
            <c:numRef>
              <c:f>'Section soudée'!$AI$87:$AI$109</c:f>
              <c:numCache>
                <c:formatCode>0.0</c:formatCode>
                <c:ptCount val="23"/>
                <c:pt idx="0">
                  <c:v>560</c:v>
                </c:pt>
                <c:pt idx="1">
                  <c:v>560</c:v>
                </c:pt>
                <c:pt idx="2">
                  <c:v>560</c:v>
                </c:pt>
                <c:pt idx="3">
                  <c:v>560</c:v>
                </c:pt>
                <c:pt idx="4">
                  <c:v>580</c:v>
                </c:pt>
                <c:pt idx="5">
                  <c:v>580</c:v>
                </c:pt>
                <c:pt idx="6">
                  <c:v>580</c:v>
                </c:pt>
                <c:pt idx="7">
                  <c:v>580</c:v>
                </c:pt>
                <c:pt idx="8">
                  <c:v>580</c:v>
                </c:pt>
                <c:pt idx="9">
                  <c:v>580</c:v>
                </c:pt>
                <c:pt idx="10">
                  <c:v>580</c:v>
                </c:pt>
                <c:pt idx="11">
                  <c:v>560</c:v>
                </c:pt>
                <c:pt idx="12">
                  <c:v>560</c:v>
                </c:pt>
                <c:pt idx="13">
                  <c:v>560</c:v>
                </c:pt>
                <c:pt idx="14">
                  <c:v>560</c:v>
                </c:pt>
              </c:numCache>
            </c:numRef>
          </c:yVal>
          <c:smooth val="0"/>
          <c:extLst>
            <c:ext xmlns:c16="http://schemas.microsoft.com/office/drawing/2014/chart" uri="{C3380CC4-5D6E-409C-BE32-E72D297353CC}">
              <c16:uniqueId val="{00000004-EB93-4FD6-9EA2-65CEAB34FAB3}"/>
            </c:ext>
          </c:extLst>
        </c:ser>
        <c:ser>
          <c:idx val="5"/>
          <c:order val="5"/>
          <c:tx>
            <c:v>élast</c:v>
          </c:tx>
          <c:spPr>
            <a:ln w="19050" cap="rnd">
              <a:solidFill>
                <a:srgbClr val="00B0F0"/>
              </a:solidFill>
              <a:round/>
            </a:ln>
            <a:effectLst/>
          </c:spPr>
          <c:marker>
            <c:symbol val="none"/>
          </c:marker>
          <c:xVal>
            <c:numRef>
              <c:f>'Section soudée'!$AJ$87:$AJ$113</c:f>
              <c:numCache>
                <c:formatCode>0.0</c:formatCode>
                <c:ptCount val="27"/>
                <c:pt idx="0">
                  <c:v>0</c:v>
                </c:pt>
                <c:pt idx="1">
                  <c:v>0</c:v>
                </c:pt>
                <c:pt idx="2">
                  <c:v>0</c:v>
                </c:pt>
                <c:pt idx="3">
                  <c:v>0</c:v>
                </c:pt>
                <c:pt idx="4">
                  <c:v>0</c:v>
                </c:pt>
                <c:pt idx="5">
                  <c:v>0</c:v>
                </c:pt>
                <c:pt idx="6">
                  <c:v>0</c:v>
                </c:pt>
                <c:pt idx="7">
                  <c:v>0</c:v>
                </c:pt>
                <c:pt idx="8">
                  <c:v>0</c:v>
                </c:pt>
                <c:pt idx="9">
                  <c:v>-8</c:v>
                </c:pt>
                <c:pt idx="10">
                  <c:v>-8</c:v>
                </c:pt>
                <c:pt idx="11">
                  <c:v>-8</c:v>
                </c:pt>
                <c:pt idx="12">
                  <c:v>-8</c:v>
                </c:pt>
                <c:pt idx="13">
                  <c:v>0</c:v>
                </c:pt>
                <c:pt idx="14">
                  <c:v>8</c:v>
                </c:pt>
                <c:pt idx="15">
                  <c:v>8</c:v>
                </c:pt>
                <c:pt idx="16">
                  <c:v>8</c:v>
                </c:pt>
                <c:pt idx="17">
                  <c:v>8</c:v>
                </c:pt>
                <c:pt idx="18">
                  <c:v>0</c:v>
                </c:pt>
                <c:pt idx="19">
                  <c:v>0</c:v>
                </c:pt>
                <c:pt idx="20">
                  <c:v>0</c:v>
                </c:pt>
                <c:pt idx="21">
                  <c:v>0</c:v>
                </c:pt>
                <c:pt idx="22">
                  <c:v>0</c:v>
                </c:pt>
                <c:pt idx="23">
                  <c:v>0</c:v>
                </c:pt>
                <c:pt idx="24">
                  <c:v>0</c:v>
                </c:pt>
                <c:pt idx="25">
                  <c:v>0</c:v>
                </c:pt>
                <c:pt idx="26">
                  <c:v>0</c:v>
                </c:pt>
              </c:numCache>
            </c:numRef>
          </c:xVal>
          <c:yVal>
            <c:numRef>
              <c:f>'Section soudée'!$AK$87:$AK$113</c:f>
              <c:numCache>
                <c:formatCode>0.0</c:formatCode>
                <c:ptCount val="27"/>
                <c:pt idx="0">
                  <c:v>0</c:v>
                </c:pt>
                <c:pt idx="1">
                  <c:v>0</c:v>
                </c:pt>
                <c:pt idx="2">
                  <c:v>0</c:v>
                </c:pt>
                <c:pt idx="3">
                  <c:v>0</c:v>
                </c:pt>
                <c:pt idx="4">
                  <c:v>0</c:v>
                </c:pt>
                <c:pt idx="5">
                  <c:v>0</c:v>
                </c:pt>
                <c:pt idx="6">
                  <c:v>0</c:v>
                </c:pt>
                <c:pt idx="7">
                  <c:v>0</c:v>
                </c:pt>
                <c:pt idx="8">
                  <c:v>0</c:v>
                </c:pt>
                <c:pt idx="9">
                  <c:v>0</c:v>
                </c:pt>
                <c:pt idx="10">
                  <c:v>555</c:v>
                </c:pt>
                <c:pt idx="11">
                  <c:v>555</c:v>
                </c:pt>
                <c:pt idx="12">
                  <c:v>560</c:v>
                </c:pt>
                <c:pt idx="13">
                  <c:v>560</c:v>
                </c:pt>
                <c:pt idx="14">
                  <c:v>560</c:v>
                </c:pt>
                <c:pt idx="15">
                  <c:v>555</c:v>
                </c:pt>
                <c:pt idx="16">
                  <c:v>555</c:v>
                </c:pt>
                <c:pt idx="17">
                  <c:v>0</c:v>
                </c:pt>
                <c:pt idx="18">
                  <c:v>0</c:v>
                </c:pt>
                <c:pt idx="19">
                  <c:v>0</c:v>
                </c:pt>
                <c:pt idx="20">
                  <c:v>0</c:v>
                </c:pt>
                <c:pt idx="21">
                  <c:v>0</c:v>
                </c:pt>
                <c:pt idx="22">
                  <c:v>0</c:v>
                </c:pt>
                <c:pt idx="23">
                  <c:v>0</c:v>
                </c:pt>
                <c:pt idx="24">
                  <c:v>0</c:v>
                </c:pt>
                <c:pt idx="25">
                  <c:v>0</c:v>
                </c:pt>
                <c:pt idx="26">
                  <c:v>0</c:v>
                </c:pt>
              </c:numCache>
            </c:numRef>
          </c:yVal>
          <c:smooth val="0"/>
          <c:extLst>
            <c:ext xmlns:c16="http://schemas.microsoft.com/office/drawing/2014/chart" uri="{C3380CC4-5D6E-409C-BE32-E72D297353CC}">
              <c16:uniqueId val="{00000005-EB93-4FD6-9EA2-65CEAB34FAB3}"/>
            </c:ext>
          </c:extLst>
        </c:ser>
        <c:ser>
          <c:idx val="6"/>
          <c:order val="6"/>
          <c:tx>
            <c:v>élast</c:v>
          </c:tx>
          <c:spPr>
            <a:ln w="19050" cap="rnd">
              <a:solidFill>
                <a:srgbClr val="00B0F0"/>
              </a:solidFill>
              <a:round/>
            </a:ln>
            <a:effectLst/>
          </c:spPr>
          <c:marker>
            <c:symbol val="none"/>
          </c:marker>
          <c:xVal>
            <c:numRef>
              <c:f>'Section soudée'!$AL$87:$AL$109</c:f>
              <c:numCache>
                <c:formatCode>0.0</c:formatCode>
                <c:ptCount val="23"/>
                <c:pt idx="0">
                  <c:v>0</c:v>
                </c:pt>
                <c:pt idx="1">
                  <c:v>-8</c:v>
                </c:pt>
                <c:pt idx="2">
                  <c:v>-8</c:v>
                </c:pt>
                <c:pt idx="3">
                  <c:v>-125</c:v>
                </c:pt>
                <c:pt idx="4">
                  <c:v>-125</c:v>
                </c:pt>
                <c:pt idx="5">
                  <c:v>-8</c:v>
                </c:pt>
                <c:pt idx="6">
                  <c:v>-8</c:v>
                </c:pt>
                <c:pt idx="7">
                  <c:v>0</c:v>
                </c:pt>
                <c:pt idx="8">
                  <c:v>8</c:v>
                </c:pt>
                <c:pt idx="9">
                  <c:v>8</c:v>
                </c:pt>
                <c:pt idx="10">
                  <c:v>125</c:v>
                </c:pt>
                <c:pt idx="11">
                  <c:v>125</c:v>
                </c:pt>
                <c:pt idx="12">
                  <c:v>8</c:v>
                </c:pt>
                <c:pt idx="13">
                  <c:v>8</c:v>
                </c:pt>
                <c:pt idx="14">
                  <c:v>0</c:v>
                </c:pt>
              </c:numCache>
            </c:numRef>
          </c:xVal>
          <c:yVal>
            <c:numRef>
              <c:f>'Section soudée'!$AM$87:$AM$109</c:f>
              <c:numCache>
                <c:formatCode>0.0</c:formatCode>
                <c:ptCount val="23"/>
                <c:pt idx="0">
                  <c:v>0</c:v>
                </c:pt>
                <c:pt idx="1">
                  <c:v>0</c:v>
                </c:pt>
                <c:pt idx="2">
                  <c:v>0</c:v>
                </c:pt>
                <c:pt idx="3">
                  <c:v>0</c:v>
                </c:pt>
                <c:pt idx="4">
                  <c:v>-20</c:v>
                </c:pt>
                <c:pt idx="5">
                  <c:v>-20</c:v>
                </c:pt>
                <c:pt idx="6">
                  <c:v>-20</c:v>
                </c:pt>
                <c:pt idx="7">
                  <c:v>-20</c:v>
                </c:pt>
                <c:pt idx="8">
                  <c:v>-20</c:v>
                </c:pt>
                <c:pt idx="9">
                  <c:v>-20</c:v>
                </c:pt>
                <c:pt idx="10">
                  <c:v>-20</c:v>
                </c:pt>
                <c:pt idx="11">
                  <c:v>0</c:v>
                </c:pt>
                <c:pt idx="12">
                  <c:v>0</c:v>
                </c:pt>
                <c:pt idx="13">
                  <c:v>0</c:v>
                </c:pt>
                <c:pt idx="14">
                  <c:v>0</c:v>
                </c:pt>
              </c:numCache>
            </c:numRef>
          </c:yVal>
          <c:smooth val="0"/>
          <c:extLst>
            <c:ext xmlns:c16="http://schemas.microsoft.com/office/drawing/2014/chart" uri="{C3380CC4-5D6E-409C-BE32-E72D297353CC}">
              <c16:uniqueId val="{00000006-EB93-4FD6-9EA2-65CEAB34FAB3}"/>
            </c:ext>
          </c:extLst>
        </c:ser>
        <c:ser>
          <c:idx val="0"/>
          <c:order val="7"/>
          <c:tx>
            <c:v>Section brute</c:v>
          </c:tx>
          <c:spPr>
            <a:ln w="19050" cap="rnd">
              <a:solidFill>
                <a:schemeClr val="tx1"/>
              </a:solidFill>
              <a:round/>
            </a:ln>
            <a:effectLst/>
          </c:spPr>
          <c:marker>
            <c:symbol val="none"/>
          </c:marker>
          <c:xVal>
            <c:numRef>
              <c:f>'Section soudée'!$AJ$27:$AJ$53</c:f>
              <c:numCache>
                <c:formatCode>0.0</c:formatCode>
                <c:ptCount val="27"/>
                <c:pt idx="0">
                  <c:v>0</c:v>
                </c:pt>
                <c:pt idx="1">
                  <c:v>0</c:v>
                </c:pt>
                <c:pt idx="2">
                  <c:v>0</c:v>
                </c:pt>
                <c:pt idx="3">
                  <c:v>0</c:v>
                </c:pt>
                <c:pt idx="4">
                  <c:v>0</c:v>
                </c:pt>
                <c:pt idx="5">
                  <c:v>0</c:v>
                </c:pt>
                <c:pt idx="6">
                  <c:v>0</c:v>
                </c:pt>
                <c:pt idx="7">
                  <c:v>-8</c:v>
                </c:pt>
                <c:pt idx="8">
                  <c:v>-8</c:v>
                </c:pt>
                <c:pt idx="9">
                  <c:v>0</c:v>
                </c:pt>
                <c:pt idx="10">
                  <c:v>0</c:v>
                </c:pt>
                <c:pt idx="11">
                  <c:v>0</c:v>
                </c:pt>
                <c:pt idx="12">
                  <c:v>0</c:v>
                </c:pt>
                <c:pt idx="13">
                  <c:v>0</c:v>
                </c:pt>
                <c:pt idx="14">
                  <c:v>0</c:v>
                </c:pt>
                <c:pt idx="15">
                  <c:v>0</c:v>
                </c:pt>
                <c:pt idx="16">
                  <c:v>0</c:v>
                </c:pt>
                <c:pt idx="17">
                  <c:v>0</c:v>
                </c:pt>
                <c:pt idx="18">
                  <c:v>8</c:v>
                </c:pt>
                <c:pt idx="19">
                  <c:v>8</c:v>
                </c:pt>
                <c:pt idx="20">
                  <c:v>0</c:v>
                </c:pt>
                <c:pt idx="21">
                  <c:v>0</c:v>
                </c:pt>
                <c:pt idx="22">
                  <c:v>0</c:v>
                </c:pt>
                <c:pt idx="23">
                  <c:v>0</c:v>
                </c:pt>
                <c:pt idx="24">
                  <c:v>0</c:v>
                </c:pt>
                <c:pt idx="25">
                  <c:v>0</c:v>
                </c:pt>
                <c:pt idx="26">
                  <c:v>0</c:v>
                </c:pt>
              </c:numCache>
            </c:numRef>
          </c:xVal>
          <c:yVal>
            <c:numRef>
              <c:f>'Section soudée'!$AK$27:$AK$53</c:f>
              <c:numCache>
                <c:formatCode>0.0</c:formatCode>
                <c:ptCount val="27"/>
                <c:pt idx="0">
                  <c:v>0</c:v>
                </c:pt>
                <c:pt idx="1">
                  <c:v>0</c:v>
                </c:pt>
                <c:pt idx="2">
                  <c:v>0</c:v>
                </c:pt>
                <c:pt idx="3">
                  <c:v>0</c:v>
                </c:pt>
                <c:pt idx="4">
                  <c:v>0</c:v>
                </c:pt>
                <c:pt idx="5">
                  <c:v>0</c:v>
                </c:pt>
                <c:pt idx="6">
                  <c:v>0</c:v>
                </c:pt>
                <c:pt idx="7">
                  <c:v>0</c:v>
                </c:pt>
                <c:pt idx="8">
                  <c:v>560</c:v>
                </c:pt>
                <c:pt idx="9">
                  <c:v>560</c:v>
                </c:pt>
                <c:pt idx="10">
                  <c:v>560</c:v>
                </c:pt>
                <c:pt idx="11">
                  <c:v>560</c:v>
                </c:pt>
                <c:pt idx="12">
                  <c:v>560</c:v>
                </c:pt>
                <c:pt idx="13">
                  <c:v>560</c:v>
                </c:pt>
                <c:pt idx="14">
                  <c:v>560</c:v>
                </c:pt>
                <c:pt idx="15">
                  <c:v>560</c:v>
                </c:pt>
                <c:pt idx="16">
                  <c:v>560</c:v>
                </c:pt>
                <c:pt idx="17">
                  <c:v>560</c:v>
                </c:pt>
                <c:pt idx="18">
                  <c:v>560</c:v>
                </c:pt>
                <c:pt idx="19">
                  <c:v>0</c:v>
                </c:pt>
                <c:pt idx="20">
                  <c:v>0</c:v>
                </c:pt>
                <c:pt idx="21">
                  <c:v>0</c:v>
                </c:pt>
                <c:pt idx="22">
                  <c:v>0</c:v>
                </c:pt>
                <c:pt idx="23">
                  <c:v>0</c:v>
                </c:pt>
                <c:pt idx="24">
                  <c:v>0</c:v>
                </c:pt>
                <c:pt idx="25">
                  <c:v>0</c:v>
                </c:pt>
                <c:pt idx="26">
                  <c:v>0</c:v>
                </c:pt>
              </c:numCache>
            </c:numRef>
          </c:yVal>
          <c:smooth val="0"/>
          <c:extLst>
            <c:ext xmlns:c16="http://schemas.microsoft.com/office/drawing/2014/chart" uri="{C3380CC4-5D6E-409C-BE32-E72D297353CC}">
              <c16:uniqueId val="{00000007-EB93-4FD6-9EA2-65CEAB34FAB3}"/>
            </c:ext>
          </c:extLst>
        </c:ser>
        <c:ser>
          <c:idx val="1"/>
          <c:order val="8"/>
          <c:tx>
            <c:v>brute</c:v>
          </c:tx>
          <c:spPr>
            <a:ln w="19050" cap="rnd">
              <a:solidFill>
                <a:schemeClr val="tx1"/>
              </a:solidFill>
              <a:round/>
            </a:ln>
            <a:effectLst/>
          </c:spPr>
          <c:marker>
            <c:symbol val="none"/>
          </c:marker>
          <c:xVal>
            <c:numRef>
              <c:f>'Section soudée'!$AH$27:$AH$53</c:f>
              <c:numCache>
                <c:formatCode>0.0</c:formatCode>
                <c:ptCount val="27"/>
                <c:pt idx="0">
                  <c:v>0</c:v>
                </c:pt>
                <c:pt idx="1">
                  <c:v>-125</c:v>
                </c:pt>
                <c:pt idx="2">
                  <c:v>-125</c:v>
                </c:pt>
                <c:pt idx="3">
                  <c:v>-125</c:v>
                </c:pt>
                <c:pt idx="4">
                  <c:v>-125</c:v>
                </c:pt>
                <c:pt idx="5">
                  <c:v>-125</c:v>
                </c:pt>
                <c:pt idx="6">
                  <c:v>-125</c:v>
                </c:pt>
                <c:pt idx="7">
                  <c:v>0</c:v>
                </c:pt>
                <c:pt idx="8">
                  <c:v>125</c:v>
                </c:pt>
                <c:pt idx="9">
                  <c:v>125</c:v>
                </c:pt>
                <c:pt idx="10">
                  <c:v>125</c:v>
                </c:pt>
                <c:pt idx="11">
                  <c:v>125</c:v>
                </c:pt>
                <c:pt idx="12">
                  <c:v>125</c:v>
                </c:pt>
                <c:pt idx="13">
                  <c:v>125</c:v>
                </c:pt>
                <c:pt idx="14">
                  <c:v>0</c:v>
                </c:pt>
              </c:numCache>
            </c:numRef>
          </c:xVal>
          <c:yVal>
            <c:numRef>
              <c:f>'Section soudée'!$AI$27:$AI$53</c:f>
              <c:numCache>
                <c:formatCode>0.0</c:formatCode>
                <c:ptCount val="27"/>
                <c:pt idx="0">
                  <c:v>560</c:v>
                </c:pt>
                <c:pt idx="1">
                  <c:v>560</c:v>
                </c:pt>
                <c:pt idx="2">
                  <c:v>560</c:v>
                </c:pt>
                <c:pt idx="3">
                  <c:v>560</c:v>
                </c:pt>
                <c:pt idx="4">
                  <c:v>580</c:v>
                </c:pt>
                <c:pt idx="5">
                  <c:v>580</c:v>
                </c:pt>
                <c:pt idx="6">
                  <c:v>580</c:v>
                </c:pt>
                <c:pt idx="7">
                  <c:v>580</c:v>
                </c:pt>
                <c:pt idx="8">
                  <c:v>580</c:v>
                </c:pt>
                <c:pt idx="9">
                  <c:v>580</c:v>
                </c:pt>
                <c:pt idx="10">
                  <c:v>580</c:v>
                </c:pt>
                <c:pt idx="11">
                  <c:v>560</c:v>
                </c:pt>
                <c:pt idx="12">
                  <c:v>560</c:v>
                </c:pt>
                <c:pt idx="13">
                  <c:v>560</c:v>
                </c:pt>
                <c:pt idx="14">
                  <c:v>560</c:v>
                </c:pt>
              </c:numCache>
            </c:numRef>
          </c:yVal>
          <c:smooth val="0"/>
          <c:extLst>
            <c:ext xmlns:c16="http://schemas.microsoft.com/office/drawing/2014/chart" uri="{C3380CC4-5D6E-409C-BE32-E72D297353CC}">
              <c16:uniqueId val="{00000008-EB93-4FD6-9EA2-65CEAB34FAB3}"/>
            </c:ext>
          </c:extLst>
        </c:ser>
        <c:ser>
          <c:idx val="3"/>
          <c:order val="9"/>
          <c:tx>
            <c:v>brute</c:v>
          </c:tx>
          <c:spPr>
            <a:ln w="19050" cap="rnd">
              <a:solidFill>
                <a:schemeClr val="tx1"/>
              </a:solidFill>
              <a:round/>
            </a:ln>
            <a:effectLst/>
          </c:spPr>
          <c:marker>
            <c:symbol val="none"/>
          </c:marker>
          <c:xVal>
            <c:numRef>
              <c:f>'Section soudée'!$AL$27:$AL$53</c:f>
              <c:numCache>
                <c:formatCode>0.0</c:formatCode>
                <c:ptCount val="27"/>
                <c:pt idx="0">
                  <c:v>0</c:v>
                </c:pt>
                <c:pt idx="1">
                  <c:v>-125</c:v>
                </c:pt>
                <c:pt idx="2">
                  <c:v>-125</c:v>
                </c:pt>
                <c:pt idx="3">
                  <c:v>-125</c:v>
                </c:pt>
                <c:pt idx="4">
                  <c:v>-125</c:v>
                </c:pt>
                <c:pt idx="5">
                  <c:v>-125</c:v>
                </c:pt>
                <c:pt idx="6">
                  <c:v>-125</c:v>
                </c:pt>
                <c:pt idx="7">
                  <c:v>0</c:v>
                </c:pt>
                <c:pt idx="8">
                  <c:v>125</c:v>
                </c:pt>
                <c:pt idx="9">
                  <c:v>125</c:v>
                </c:pt>
                <c:pt idx="10">
                  <c:v>125</c:v>
                </c:pt>
                <c:pt idx="11">
                  <c:v>125</c:v>
                </c:pt>
                <c:pt idx="12">
                  <c:v>125</c:v>
                </c:pt>
                <c:pt idx="13">
                  <c:v>125</c:v>
                </c:pt>
                <c:pt idx="14">
                  <c:v>0</c:v>
                </c:pt>
              </c:numCache>
            </c:numRef>
          </c:xVal>
          <c:yVal>
            <c:numRef>
              <c:f>'Section soudée'!$AM$27:$AM$53</c:f>
              <c:numCache>
                <c:formatCode>0.0</c:formatCode>
                <c:ptCount val="27"/>
                <c:pt idx="0">
                  <c:v>0</c:v>
                </c:pt>
                <c:pt idx="1">
                  <c:v>0</c:v>
                </c:pt>
                <c:pt idx="2">
                  <c:v>0</c:v>
                </c:pt>
                <c:pt idx="3">
                  <c:v>0</c:v>
                </c:pt>
                <c:pt idx="4">
                  <c:v>-20</c:v>
                </c:pt>
                <c:pt idx="5">
                  <c:v>-20</c:v>
                </c:pt>
                <c:pt idx="6">
                  <c:v>-20</c:v>
                </c:pt>
                <c:pt idx="7">
                  <c:v>-20</c:v>
                </c:pt>
                <c:pt idx="8">
                  <c:v>-20</c:v>
                </c:pt>
                <c:pt idx="9">
                  <c:v>-20</c:v>
                </c:pt>
                <c:pt idx="10">
                  <c:v>-20</c:v>
                </c:pt>
                <c:pt idx="11">
                  <c:v>0</c:v>
                </c:pt>
                <c:pt idx="12">
                  <c:v>0</c:v>
                </c:pt>
                <c:pt idx="13">
                  <c:v>0</c:v>
                </c:pt>
                <c:pt idx="14">
                  <c:v>0</c:v>
                </c:pt>
              </c:numCache>
            </c:numRef>
          </c:yVal>
          <c:smooth val="0"/>
          <c:extLst>
            <c:ext xmlns:c16="http://schemas.microsoft.com/office/drawing/2014/chart" uri="{C3380CC4-5D6E-409C-BE32-E72D297353CC}">
              <c16:uniqueId val="{00000009-EB93-4FD6-9EA2-65CEAB34FAB3}"/>
            </c:ext>
          </c:extLst>
        </c:ser>
        <c:dLbls>
          <c:showLegendKey val="0"/>
          <c:showVal val="0"/>
          <c:showCatName val="0"/>
          <c:showSerName val="0"/>
          <c:showPercent val="0"/>
          <c:showBubbleSize val="0"/>
        </c:dLbls>
        <c:axId val="1637704543"/>
        <c:axId val="1637705375"/>
      </c:scatterChart>
      <c:valAx>
        <c:axId val="1637704543"/>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7705375"/>
        <c:crosses val="autoZero"/>
        <c:crossBetween val="midCat"/>
      </c:valAx>
      <c:valAx>
        <c:axId val="1637705375"/>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fr-FR"/>
          </a:p>
        </c:txPr>
        <c:crossAx val="1637704543"/>
        <c:crosses val="autoZero"/>
        <c:crossBetween val="midCat"/>
      </c:valAx>
      <c:spPr>
        <a:noFill/>
        <a:ln>
          <a:noFill/>
        </a:ln>
        <a:effectLst/>
      </c:spPr>
    </c:plotArea>
    <c:legend>
      <c:legendPos val="r"/>
      <c:legendEntry>
        <c:idx val="0"/>
        <c:delete val="1"/>
      </c:legendEntry>
      <c:legendEntry>
        <c:idx val="2"/>
        <c:delete val="1"/>
      </c:legendEntry>
      <c:legendEntry>
        <c:idx val="3"/>
        <c:delete val="1"/>
      </c:legendEntry>
      <c:legendEntry>
        <c:idx val="5"/>
        <c:delete val="1"/>
      </c:legendEntry>
      <c:legendEntry>
        <c:idx val="6"/>
        <c:delete val="1"/>
      </c:legendEntry>
      <c:legendEntry>
        <c:idx val="8"/>
        <c:delete val="1"/>
      </c:legendEntry>
      <c:legendEntry>
        <c:idx val="9"/>
        <c:delete val="1"/>
      </c:legendEntry>
      <c:layout>
        <c:manualLayout>
          <c:xMode val="edge"/>
          <c:yMode val="edge"/>
          <c:x val="0.59808013888888889"/>
          <c:y val="0.44823563721201509"/>
          <c:w val="0.18798708333333333"/>
          <c:h val="0.10587472862188523"/>
        </c:manualLayout>
      </c:layout>
      <c:overlay val="0"/>
      <c:spPr>
        <a:solidFill>
          <a:schemeClr val="bg1"/>
        </a:solidFill>
        <a:ln>
          <a:solidFill>
            <a:schemeClr val="bg1">
              <a:lumMod val="85000"/>
            </a:schemeClr>
          </a:solidFill>
        </a:ln>
        <a:effectLst/>
      </c:spPr>
      <c:txPr>
        <a:bodyPr rot="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fr-FR"/>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ysClr val="windowText" lastClr="000000"/>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emf"/><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JPG"/><Relationship Id="rId3" Type="http://schemas.openxmlformats.org/officeDocument/2006/relationships/image" Target="../media/image6.JPG"/><Relationship Id="rId7" Type="http://schemas.openxmlformats.org/officeDocument/2006/relationships/image" Target="../media/image10.JPG"/><Relationship Id="rId2" Type="http://schemas.openxmlformats.org/officeDocument/2006/relationships/image" Target="../media/image5.JPG"/><Relationship Id="rId1" Type="http://schemas.openxmlformats.org/officeDocument/2006/relationships/image" Target="../media/image4.JPG"/><Relationship Id="rId6" Type="http://schemas.openxmlformats.org/officeDocument/2006/relationships/image" Target="../media/image9.JPG"/><Relationship Id="rId5" Type="http://schemas.openxmlformats.org/officeDocument/2006/relationships/image" Target="../media/image8.JPG"/><Relationship Id="rId4" Type="http://schemas.openxmlformats.org/officeDocument/2006/relationships/image" Target="../media/image7.JPG"/><Relationship Id="rId9" Type="http://schemas.openxmlformats.org/officeDocument/2006/relationships/image" Target="../media/image12.JPG"/></Relationships>
</file>

<file path=xl/drawings/_rels/drawing3.xml.rels><?xml version="1.0" encoding="UTF-8" standalone="yes"?>
<Relationships xmlns="http://schemas.openxmlformats.org/package/2006/relationships"><Relationship Id="rId2" Type="http://schemas.openxmlformats.org/officeDocument/2006/relationships/image" Target="../media/image13.png"/><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5848350</xdr:colOff>
      <xdr:row>0</xdr:row>
      <xdr:rowOff>0</xdr:rowOff>
    </xdr:from>
    <xdr:to>
      <xdr:col>2</xdr:col>
      <xdr:colOff>11772899</xdr:colOff>
      <xdr:row>4</xdr:row>
      <xdr:rowOff>28575</xdr:rowOff>
    </xdr:to>
    <xdr:sp macro="" textlink="">
      <xdr:nvSpPr>
        <xdr:cNvPr id="3" name="Rectangle 2">
          <a:extLst>
            <a:ext uri="{FF2B5EF4-FFF2-40B4-BE49-F238E27FC236}">
              <a16:creationId xmlns:a16="http://schemas.microsoft.com/office/drawing/2014/main" id="{88C8AEF4-4173-414C-A2E6-57B90E436319}"/>
            </a:ext>
          </a:extLst>
        </xdr:cNvPr>
        <xdr:cNvSpPr/>
      </xdr:nvSpPr>
      <xdr:spPr>
        <a:xfrm>
          <a:off x="7448550" y="0"/>
          <a:ext cx="5924549" cy="828675"/>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fr-CA" sz="1100"/>
        </a:p>
      </xdr:txBody>
    </xdr:sp>
    <xdr:clientData/>
  </xdr:twoCellAnchor>
  <xdr:twoCellAnchor editAs="oneCell">
    <xdr:from>
      <xdr:col>2</xdr:col>
      <xdr:colOff>10070890</xdr:colOff>
      <xdr:row>0</xdr:row>
      <xdr:rowOff>113231</xdr:rowOff>
    </xdr:from>
    <xdr:to>
      <xdr:col>2</xdr:col>
      <xdr:colOff>11798888</xdr:colOff>
      <xdr:row>4</xdr:row>
      <xdr:rowOff>33131</xdr:rowOff>
    </xdr:to>
    <xdr:pic>
      <xdr:nvPicPr>
        <xdr:cNvPr id="4" name="Image 3">
          <a:extLst>
            <a:ext uri="{FF2B5EF4-FFF2-40B4-BE49-F238E27FC236}">
              <a16:creationId xmlns:a16="http://schemas.microsoft.com/office/drawing/2014/main" id="{93A8CE8E-778D-4C26-A4A7-99C05D5011A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575840" y="113231"/>
          <a:ext cx="1727998" cy="720000"/>
        </a:xfrm>
        <a:prstGeom prst="rect">
          <a:avLst/>
        </a:prstGeom>
      </xdr:spPr>
    </xdr:pic>
    <xdr:clientData/>
  </xdr:twoCellAnchor>
  <xdr:twoCellAnchor editAs="oneCell">
    <xdr:from>
      <xdr:col>2</xdr:col>
      <xdr:colOff>5932848</xdr:colOff>
      <xdr:row>0</xdr:row>
      <xdr:rowOff>76201</xdr:rowOff>
    </xdr:from>
    <xdr:to>
      <xdr:col>2</xdr:col>
      <xdr:colOff>6721517</xdr:colOff>
      <xdr:row>3</xdr:row>
      <xdr:rowOff>123825</xdr:rowOff>
    </xdr:to>
    <xdr:pic>
      <xdr:nvPicPr>
        <xdr:cNvPr id="7" name="Image 6">
          <a:extLst>
            <a:ext uri="{FF2B5EF4-FFF2-40B4-BE49-F238E27FC236}">
              <a16:creationId xmlns:a16="http://schemas.microsoft.com/office/drawing/2014/main" id="{98C58334-7BFE-5B40-870C-D6AE554051F2}"/>
            </a:ext>
          </a:extLst>
        </xdr:cNvPr>
        <xdr:cNvPicPr>
          <a:picLocks noChangeAspect="1"/>
        </xdr:cNvPicPr>
      </xdr:nvPicPr>
      <xdr:blipFill>
        <a:blip xmlns:r="http://schemas.openxmlformats.org/officeDocument/2006/relationships" r:embed="rId2"/>
        <a:stretch>
          <a:fillRect/>
        </a:stretch>
      </xdr:blipFill>
      <xdr:spPr>
        <a:xfrm>
          <a:off x="7533048" y="76201"/>
          <a:ext cx="788669" cy="657224"/>
        </a:xfrm>
        <a:prstGeom prst="rect">
          <a:avLst/>
        </a:prstGeom>
      </xdr:spPr>
    </xdr:pic>
    <xdr:clientData/>
  </xdr:twoCellAnchor>
  <xdr:twoCellAnchor editAs="oneCell">
    <xdr:from>
      <xdr:col>2</xdr:col>
      <xdr:colOff>6940550</xdr:colOff>
      <xdr:row>0</xdr:row>
      <xdr:rowOff>0</xdr:rowOff>
    </xdr:from>
    <xdr:to>
      <xdr:col>2</xdr:col>
      <xdr:colOff>9866884</xdr:colOff>
      <xdr:row>3</xdr:row>
      <xdr:rowOff>134430</xdr:rowOff>
    </xdr:to>
    <xdr:pic>
      <xdr:nvPicPr>
        <xdr:cNvPr id="5" name="Image 4">
          <a:extLst>
            <a:ext uri="{FF2B5EF4-FFF2-40B4-BE49-F238E27FC236}">
              <a16:creationId xmlns:a16="http://schemas.microsoft.com/office/drawing/2014/main" id="{CB709439-51BC-4682-B8EC-F5F2B0E2AD92}"/>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8616950" y="0"/>
          <a:ext cx="2926334" cy="73768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5400000</xdr:colOff>
      <xdr:row>0</xdr:row>
      <xdr:rowOff>3037500</xdr:rowOff>
    </xdr:to>
    <xdr:pic>
      <xdr:nvPicPr>
        <xdr:cNvPr id="27" name="Image 26">
          <a:extLst>
            <a:ext uri="{FF2B5EF4-FFF2-40B4-BE49-F238E27FC236}">
              <a16:creationId xmlns:a16="http://schemas.microsoft.com/office/drawing/2014/main" id="{C1D6D95D-7AAD-4142-A83A-A64070BACB0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5400000" cy="3037500"/>
        </a:xfrm>
        <a:prstGeom prst="rect">
          <a:avLst/>
        </a:prstGeom>
        <a:ln>
          <a:solidFill>
            <a:sysClr val="windowText" lastClr="000000"/>
          </a:solidFill>
        </a:ln>
      </xdr:spPr>
    </xdr:pic>
    <xdr:clientData/>
  </xdr:twoCellAnchor>
  <xdr:twoCellAnchor editAs="oneCell">
    <xdr:from>
      <xdr:col>1</xdr:col>
      <xdr:colOff>0</xdr:colOff>
      <xdr:row>0</xdr:row>
      <xdr:rowOff>0</xdr:rowOff>
    </xdr:from>
    <xdr:to>
      <xdr:col>1</xdr:col>
      <xdr:colOff>5400000</xdr:colOff>
      <xdr:row>0</xdr:row>
      <xdr:rowOff>3037500</xdr:rowOff>
    </xdr:to>
    <xdr:pic>
      <xdr:nvPicPr>
        <xdr:cNvPr id="28" name="Image 27">
          <a:extLst>
            <a:ext uri="{FF2B5EF4-FFF2-40B4-BE49-F238E27FC236}">
              <a16:creationId xmlns:a16="http://schemas.microsoft.com/office/drawing/2014/main" id="{783D61F3-2EAA-44D7-8082-08264A57014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429250" y="0"/>
          <a:ext cx="5400000" cy="3037500"/>
        </a:xfrm>
        <a:prstGeom prst="rect">
          <a:avLst/>
        </a:prstGeom>
        <a:ln>
          <a:solidFill>
            <a:sysClr val="windowText" lastClr="000000"/>
          </a:solidFill>
        </a:ln>
      </xdr:spPr>
    </xdr:pic>
    <xdr:clientData/>
  </xdr:twoCellAnchor>
  <xdr:twoCellAnchor editAs="oneCell">
    <xdr:from>
      <xdr:col>2</xdr:col>
      <xdr:colOff>0</xdr:colOff>
      <xdr:row>0</xdr:row>
      <xdr:rowOff>0</xdr:rowOff>
    </xdr:from>
    <xdr:to>
      <xdr:col>2</xdr:col>
      <xdr:colOff>5400000</xdr:colOff>
      <xdr:row>0</xdr:row>
      <xdr:rowOff>3037500</xdr:rowOff>
    </xdr:to>
    <xdr:pic>
      <xdr:nvPicPr>
        <xdr:cNvPr id="29" name="Image 28">
          <a:extLst>
            <a:ext uri="{FF2B5EF4-FFF2-40B4-BE49-F238E27FC236}">
              <a16:creationId xmlns:a16="http://schemas.microsoft.com/office/drawing/2014/main" id="{2BB0BA35-376C-4246-A00B-906F95C3EEE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0858500" y="0"/>
          <a:ext cx="5400000" cy="3037500"/>
        </a:xfrm>
        <a:prstGeom prst="rect">
          <a:avLst/>
        </a:prstGeom>
        <a:ln>
          <a:solidFill>
            <a:sysClr val="windowText" lastClr="000000"/>
          </a:solidFill>
        </a:ln>
      </xdr:spPr>
    </xdr:pic>
    <xdr:clientData/>
  </xdr:twoCellAnchor>
  <xdr:twoCellAnchor editAs="oneCell">
    <xdr:from>
      <xdr:col>0</xdr:col>
      <xdr:colOff>0</xdr:colOff>
      <xdr:row>1</xdr:row>
      <xdr:rowOff>0</xdr:rowOff>
    </xdr:from>
    <xdr:to>
      <xdr:col>0</xdr:col>
      <xdr:colOff>5400000</xdr:colOff>
      <xdr:row>1</xdr:row>
      <xdr:rowOff>3037500</xdr:rowOff>
    </xdr:to>
    <xdr:pic>
      <xdr:nvPicPr>
        <xdr:cNvPr id="30" name="Image 29">
          <a:extLst>
            <a:ext uri="{FF2B5EF4-FFF2-40B4-BE49-F238E27FC236}">
              <a16:creationId xmlns:a16="http://schemas.microsoft.com/office/drawing/2014/main" id="{858CE198-95A7-4D89-9A28-A7299E07616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3048000"/>
          <a:ext cx="5400000" cy="3037500"/>
        </a:xfrm>
        <a:prstGeom prst="rect">
          <a:avLst/>
        </a:prstGeom>
        <a:ln>
          <a:solidFill>
            <a:sysClr val="windowText" lastClr="000000"/>
          </a:solidFill>
        </a:ln>
      </xdr:spPr>
    </xdr:pic>
    <xdr:clientData/>
  </xdr:twoCellAnchor>
  <xdr:twoCellAnchor editAs="oneCell">
    <xdr:from>
      <xdr:col>1</xdr:col>
      <xdr:colOff>0</xdr:colOff>
      <xdr:row>1</xdr:row>
      <xdr:rowOff>0</xdr:rowOff>
    </xdr:from>
    <xdr:to>
      <xdr:col>1</xdr:col>
      <xdr:colOff>5400000</xdr:colOff>
      <xdr:row>1</xdr:row>
      <xdr:rowOff>3037500</xdr:rowOff>
    </xdr:to>
    <xdr:pic>
      <xdr:nvPicPr>
        <xdr:cNvPr id="31" name="Image 30">
          <a:extLst>
            <a:ext uri="{FF2B5EF4-FFF2-40B4-BE49-F238E27FC236}">
              <a16:creationId xmlns:a16="http://schemas.microsoft.com/office/drawing/2014/main" id="{99E26934-FBD6-4477-80E5-49F7993555C3}"/>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5429250" y="3048000"/>
          <a:ext cx="5400000" cy="3037500"/>
        </a:xfrm>
        <a:prstGeom prst="rect">
          <a:avLst/>
        </a:prstGeom>
        <a:ln>
          <a:solidFill>
            <a:sysClr val="windowText" lastClr="000000"/>
          </a:solidFill>
        </a:ln>
      </xdr:spPr>
    </xdr:pic>
    <xdr:clientData/>
  </xdr:twoCellAnchor>
  <xdr:twoCellAnchor editAs="oneCell">
    <xdr:from>
      <xdr:col>2</xdr:col>
      <xdr:colOff>0</xdr:colOff>
      <xdr:row>1</xdr:row>
      <xdr:rowOff>0</xdr:rowOff>
    </xdr:from>
    <xdr:to>
      <xdr:col>2</xdr:col>
      <xdr:colOff>5400000</xdr:colOff>
      <xdr:row>1</xdr:row>
      <xdr:rowOff>3037500</xdr:rowOff>
    </xdr:to>
    <xdr:pic>
      <xdr:nvPicPr>
        <xdr:cNvPr id="32" name="Image 31">
          <a:extLst>
            <a:ext uri="{FF2B5EF4-FFF2-40B4-BE49-F238E27FC236}">
              <a16:creationId xmlns:a16="http://schemas.microsoft.com/office/drawing/2014/main" id="{DD43F81F-F207-4546-93F6-7EF01AA5606F}"/>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10858500" y="3048000"/>
          <a:ext cx="5400000" cy="3037500"/>
        </a:xfrm>
        <a:prstGeom prst="rect">
          <a:avLst/>
        </a:prstGeom>
        <a:ln>
          <a:solidFill>
            <a:sysClr val="windowText" lastClr="000000"/>
          </a:solidFill>
        </a:ln>
      </xdr:spPr>
    </xdr:pic>
    <xdr:clientData/>
  </xdr:twoCellAnchor>
  <xdr:twoCellAnchor editAs="oneCell">
    <xdr:from>
      <xdr:col>0</xdr:col>
      <xdr:colOff>0</xdr:colOff>
      <xdr:row>2</xdr:row>
      <xdr:rowOff>0</xdr:rowOff>
    </xdr:from>
    <xdr:to>
      <xdr:col>0</xdr:col>
      <xdr:colOff>5400000</xdr:colOff>
      <xdr:row>2</xdr:row>
      <xdr:rowOff>3037500</xdr:rowOff>
    </xdr:to>
    <xdr:pic>
      <xdr:nvPicPr>
        <xdr:cNvPr id="33" name="Image 32">
          <a:extLst>
            <a:ext uri="{FF2B5EF4-FFF2-40B4-BE49-F238E27FC236}">
              <a16:creationId xmlns:a16="http://schemas.microsoft.com/office/drawing/2014/main" id="{C83D4AFE-57DD-4F78-A918-F1714E724CB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0" y="6096000"/>
          <a:ext cx="5400000" cy="3037500"/>
        </a:xfrm>
        <a:prstGeom prst="rect">
          <a:avLst/>
        </a:prstGeom>
        <a:ln>
          <a:solidFill>
            <a:sysClr val="windowText" lastClr="000000"/>
          </a:solidFill>
        </a:ln>
      </xdr:spPr>
    </xdr:pic>
    <xdr:clientData/>
  </xdr:twoCellAnchor>
  <xdr:twoCellAnchor editAs="oneCell">
    <xdr:from>
      <xdr:col>1</xdr:col>
      <xdr:colOff>0</xdr:colOff>
      <xdr:row>2</xdr:row>
      <xdr:rowOff>0</xdr:rowOff>
    </xdr:from>
    <xdr:to>
      <xdr:col>1</xdr:col>
      <xdr:colOff>5400000</xdr:colOff>
      <xdr:row>2</xdr:row>
      <xdr:rowOff>3037500</xdr:rowOff>
    </xdr:to>
    <xdr:pic>
      <xdr:nvPicPr>
        <xdr:cNvPr id="34" name="Image 33">
          <a:extLst>
            <a:ext uri="{FF2B5EF4-FFF2-40B4-BE49-F238E27FC236}">
              <a16:creationId xmlns:a16="http://schemas.microsoft.com/office/drawing/2014/main" id="{1A659EA4-C827-4ED5-8BC9-D91514B9E413}"/>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tretch>
          <a:fillRect/>
        </a:stretch>
      </xdr:blipFill>
      <xdr:spPr>
        <a:xfrm>
          <a:off x="5429250" y="6096000"/>
          <a:ext cx="5400000" cy="3037500"/>
        </a:xfrm>
        <a:prstGeom prst="rect">
          <a:avLst/>
        </a:prstGeom>
        <a:ln>
          <a:solidFill>
            <a:sysClr val="windowText" lastClr="000000"/>
          </a:solidFill>
        </a:ln>
      </xdr:spPr>
    </xdr:pic>
    <xdr:clientData/>
  </xdr:twoCellAnchor>
  <xdr:twoCellAnchor editAs="oneCell">
    <xdr:from>
      <xdr:col>2</xdr:col>
      <xdr:colOff>0</xdr:colOff>
      <xdr:row>2</xdr:row>
      <xdr:rowOff>0</xdr:rowOff>
    </xdr:from>
    <xdr:to>
      <xdr:col>2</xdr:col>
      <xdr:colOff>5400000</xdr:colOff>
      <xdr:row>2</xdr:row>
      <xdr:rowOff>3037500</xdr:rowOff>
    </xdr:to>
    <xdr:pic>
      <xdr:nvPicPr>
        <xdr:cNvPr id="35" name="Image 34">
          <a:extLst>
            <a:ext uri="{FF2B5EF4-FFF2-40B4-BE49-F238E27FC236}">
              <a16:creationId xmlns:a16="http://schemas.microsoft.com/office/drawing/2014/main" id="{10F8F08F-E869-49A0-8E8B-01385CF43A04}"/>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tretch>
          <a:fillRect/>
        </a:stretch>
      </xdr:blipFill>
      <xdr:spPr>
        <a:xfrm>
          <a:off x="10858500" y="6096000"/>
          <a:ext cx="5400000" cy="3037500"/>
        </a:xfrm>
        <a:prstGeom prst="rect">
          <a:avLst/>
        </a:prstGeom>
        <a:ln>
          <a:solidFill>
            <a:sysClr val="windowText" lastClr="000000"/>
          </a:solid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9</xdr:col>
      <xdr:colOff>342000</xdr:colOff>
      <xdr:row>36</xdr:row>
      <xdr:rowOff>85725</xdr:rowOff>
    </xdr:to>
    <xdr:graphicFrame macro="">
      <xdr:nvGraphicFramePr>
        <xdr:cNvPr id="5" name="Graphique 4">
          <a:extLst>
            <a:ext uri="{FF2B5EF4-FFF2-40B4-BE49-F238E27FC236}">
              <a16:creationId xmlns:a16="http://schemas.microsoft.com/office/drawing/2014/main" id="{3AFF061C-2E80-41A5-BB3C-02F59025E9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0</xdr:colOff>
      <xdr:row>0</xdr:row>
      <xdr:rowOff>0</xdr:rowOff>
    </xdr:from>
    <xdr:to>
      <xdr:col>15</xdr:col>
      <xdr:colOff>361294</xdr:colOff>
      <xdr:row>25</xdr:row>
      <xdr:rowOff>17178</xdr:rowOff>
    </xdr:to>
    <xdr:pic>
      <xdr:nvPicPr>
        <xdr:cNvPr id="364" name="Image 363">
          <a:extLst>
            <a:ext uri="{FF2B5EF4-FFF2-40B4-BE49-F238E27FC236}">
              <a16:creationId xmlns:a16="http://schemas.microsoft.com/office/drawing/2014/main" id="{D4334530-A5D7-4264-8CE8-737FE2559A60}"/>
            </a:ext>
          </a:extLst>
        </xdr:cNvPr>
        <xdr:cNvPicPr>
          <a:picLocks noChangeAspect="1"/>
        </xdr:cNvPicPr>
      </xdr:nvPicPr>
      <xdr:blipFill rotWithShape="1">
        <a:blip xmlns:r="http://schemas.openxmlformats.org/officeDocument/2006/relationships" r:embed="rId2"/>
        <a:srcRect l="1078" r="1178"/>
        <a:stretch/>
      </xdr:blipFill>
      <xdr:spPr>
        <a:xfrm>
          <a:off x="7620000" y="0"/>
          <a:ext cx="4171294" cy="4779678"/>
        </a:xfrm>
        <a:prstGeom prst="rect">
          <a:avLst/>
        </a:prstGeom>
        <a:ln>
          <a:solidFill>
            <a:sysClr val="windowText" lastClr="000000"/>
          </a:solidFill>
        </a:ln>
      </xdr:spPr>
    </xdr:pic>
    <xdr:clientData/>
  </xdr:twoCellAnchor>
</xdr:wsDr>
</file>

<file path=xl/theme/theme1.xml><?xml version="1.0" encoding="utf-8"?>
<a:theme xmlns:a="http://schemas.openxmlformats.org/drawingml/2006/main" name="Thèm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CCBDA7-9EFF-442B-A267-870383E89C52}">
  <dimension ref="A1:C96"/>
  <sheetViews>
    <sheetView topLeftCell="A91" zoomScaleNormal="100" zoomScaleSheetLayoutView="100" workbookViewId="0">
      <selection activeCell="B7" sqref="B7"/>
    </sheetView>
  </sheetViews>
  <sheetFormatPr baseColWidth="10" defaultColWidth="11.453125" defaultRowHeight="15" customHeight="1" x14ac:dyDescent="0.25"/>
  <cols>
    <col min="1" max="1" width="4.26953125" style="13" customWidth="1"/>
    <col min="2" max="2" width="19.7265625" style="13" bestFit="1" customWidth="1"/>
    <col min="3" max="3" width="178.54296875" style="13" bestFit="1" customWidth="1"/>
    <col min="4" max="16384" width="11.453125" style="13"/>
  </cols>
  <sheetData>
    <row r="1" spans="1:3" ht="17.5" x14ac:dyDescent="0.35">
      <c r="A1" s="12" t="s">
        <v>368</v>
      </c>
    </row>
    <row r="4" spans="1:3" ht="15" customHeight="1" x14ac:dyDescent="0.3">
      <c r="A4" s="16" t="s">
        <v>243</v>
      </c>
    </row>
    <row r="5" spans="1:3" ht="15" customHeight="1" x14ac:dyDescent="0.25">
      <c r="B5" s="13" t="s">
        <v>247</v>
      </c>
      <c r="C5" s="13" t="s">
        <v>256</v>
      </c>
    </row>
    <row r="6" spans="1:3" ht="15" customHeight="1" x14ac:dyDescent="0.25">
      <c r="B6" s="13" t="s">
        <v>255</v>
      </c>
      <c r="C6" s="13" t="s">
        <v>245</v>
      </c>
    </row>
    <row r="7" spans="1:3" ht="15" customHeight="1" x14ac:dyDescent="0.25">
      <c r="B7" s="13" t="s">
        <v>545</v>
      </c>
      <c r="C7" s="13" t="s">
        <v>244</v>
      </c>
    </row>
    <row r="8" spans="1:3" ht="15" customHeight="1" x14ac:dyDescent="0.25">
      <c r="B8" s="13" t="s">
        <v>246</v>
      </c>
      <c r="C8" s="13" t="s">
        <v>401</v>
      </c>
    </row>
    <row r="9" spans="1:3" ht="15" customHeight="1" x14ac:dyDescent="0.25">
      <c r="C9" s="13" t="s">
        <v>248</v>
      </c>
    </row>
    <row r="10" spans="1:3" ht="15" customHeight="1" x14ac:dyDescent="0.25">
      <c r="C10" s="13" t="s">
        <v>254</v>
      </c>
    </row>
    <row r="11" spans="1:3" ht="15" customHeight="1" x14ac:dyDescent="0.25">
      <c r="C11" s="13" t="s">
        <v>385</v>
      </c>
    </row>
    <row r="14" spans="1:3" ht="15" customHeight="1" x14ac:dyDescent="0.3">
      <c r="A14" s="16" t="s">
        <v>249</v>
      </c>
    </row>
    <row r="15" spans="1:3" ht="15" customHeight="1" x14ac:dyDescent="0.25">
      <c r="B15" s="81" t="s">
        <v>544</v>
      </c>
      <c r="C15" s="13" t="s">
        <v>476</v>
      </c>
    </row>
    <row r="16" spans="1:3" ht="15" customHeight="1" x14ac:dyDescent="0.25">
      <c r="B16" s="23" t="s">
        <v>250</v>
      </c>
      <c r="C16" s="13" t="s">
        <v>396</v>
      </c>
    </row>
    <row r="19" spans="1:3" ht="15" customHeight="1" x14ac:dyDescent="0.3">
      <c r="A19" s="16" t="s">
        <v>251</v>
      </c>
    </row>
    <row r="20" spans="1:3" ht="15" customHeight="1" x14ac:dyDescent="0.25">
      <c r="C20" s="13" t="s">
        <v>253</v>
      </c>
    </row>
    <row r="21" spans="1:3" ht="15" customHeight="1" x14ac:dyDescent="0.25">
      <c r="B21" s="17"/>
      <c r="C21" s="21" t="s">
        <v>394</v>
      </c>
    </row>
    <row r="22" spans="1:3" ht="15" customHeight="1" x14ac:dyDescent="0.25">
      <c r="B22" s="17"/>
      <c r="C22" s="21" t="s">
        <v>259</v>
      </c>
    </row>
    <row r="23" spans="1:3" ht="15" customHeight="1" x14ac:dyDescent="0.25">
      <c r="B23" s="17"/>
      <c r="C23" s="21" t="s">
        <v>395</v>
      </c>
    </row>
    <row r="24" spans="1:3" ht="15" customHeight="1" x14ac:dyDescent="0.25">
      <c r="B24" s="17"/>
      <c r="C24" s="17" t="s">
        <v>400</v>
      </c>
    </row>
    <row r="25" spans="1:3" ht="15" customHeight="1" x14ac:dyDescent="0.25">
      <c r="B25" s="14" t="s">
        <v>60</v>
      </c>
      <c r="C25" s="13" t="s">
        <v>252</v>
      </c>
    </row>
    <row r="26" spans="1:3" ht="15" customHeight="1" x14ac:dyDescent="0.25">
      <c r="C26" s="13" t="s">
        <v>380</v>
      </c>
    </row>
    <row r="27" spans="1:3" ht="15" customHeight="1" x14ac:dyDescent="0.25">
      <c r="B27" s="74" t="s">
        <v>412</v>
      </c>
      <c r="C27" s="17" t="s">
        <v>413</v>
      </c>
    </row>
    <row r="28" spans="1:3" ht="15" customHeight="1" x14ac:dyDescent="0.25">
      <c r="B28" s="15" t="s">
        <v>100</v>
      </c>
      <c r="C28" s="13" t="s">
        <v>397</v>
      </c>
    </row>
    <row r="29" spans="1:3" ht="15" customHeight="1" x14ac:dyDescent="0.25">
      <c r="B29" s="13" t="s">
        <v>258</v>
      </c>
      <c r="C29" s="13" t="s">
        <v>398</v>
      </c>
    </row>
    <row r="30" spans="1:3" ht="15" customHeight="1" x14ac:dyDescent="0.25">
      <c r="C30" s="13" t="s">
        <v>399</v>
      </c>
    </row>
    <row r="33" spans="1:3" ht="15" customHeight="1" x14ac:dyDescent="0.3">
      <c r="A33" s="16" t="s">
        <v>239</v>
      </c>
    </row>
    <row r="34" spans="1:3" ht="15" customHeight="1" x14ac:dyDescent="0.25">
      <c r="B34" s="13" t="s">
        <v>257</v>
      </c>
      <c r="C34" s="13" t="s">
        <v>114</v>
      </c>
    </row>
    <row r="35" spans="1:3" ht="15" customHeight="1" x14ac:dyDescent="0.25">
      <c r="C35" s="17" t="s">
        <v>112</v>
      </c>
    </row>
    <row r="36" spans="1:3" ht="15" customHeight="1" x14ac:dyDescent="0.25">
      <c r="C36" s="17" t="s">
        <v>475</v>
      </c>
    </row>
    <row r="37" spans="1:3" ht="15" customHeight="1" x14ac:dyDescent="0.25">
      <c r="C37" s="17" t="s">
        <v>113</v>
      </c>
    </row>
    <row r="38" spans="1:3" ht="15" customHeight="1" x14ac:dyDescent="0.25">
      <c r="C38" s="13" t="s">
        <v>477</v>
      </c>
    </row>
    <row r="39" spans="1:3" ht="15" customHeight="1" x14ac:dyDescent="0.25">
      <c r="C39" s="13" t="s">
        <v>240</v>
      </c>
    </row>
    <row r="40" spans="1:3" ht="15" customHeight="1" x14ac:dyDescent="0.25">
      <c r="C40" s="13" t="s">
        <v>478</v>
      </c>
    </row>
    <row r="41" spans="1:3" ht="15" customHeight="1" x14ac:dyDescent="0.25">
      <c r="C41" s="13" t="s">
        <v>241</v>
      </c>
    </row>
    <row r="43" spans="1:3" ht="15" customHeight="1" x14ac:dyDescent="0.25">
      <c r="B43" s="13" t="s">
        <v>258</v>
      </c>
      <c r="C43" s="13" t="s">
        <v>479</v>
      </c>
    </row>
    <row r="44" spans="1:3" ht="15" customHeight="1" x14ac:dyDescent="0.25">
      <c r="C44" s="13" t="s">
        <v>480</v>
      </c>
    </row>
    <row r="45" spans="1:3" ht="15" customHeight="1" x14ac:dyDescent="0.25">
      <c r="C45" s="13" t="s">
        <v>481</v>
      </c>
    </row>
    <row r="46" spans="1:3" ht="15" customHeight="1" x14ac:dyDescent="0.3">
      <c r="C46" s="13" t="s">
        <v>311</v>
      </c>
    </row>
    <row r="47" spans="1:3" ht="15" customHeight="1" x14ac:dyDescent="0.25">
      <c r="C47" s="13" t="s">
        <v>482</v>
      </c>
    </row>
    <row r="48" spans="1:3" ht="15" customHeight="1" x14ac:dyDescent="0.25">
      <c r="C48" s="13" t="s">
        <v>483</v>
      </c>
    </row>
    <row r="49" spans="2:3" ht="15" customHeight="1" x14ac:dyDescent="0.25">
      <c r="C49" s="13" t="s">
        <v>467</v>
      </c>
    </row>
    <row r="50" spans="2:3" ht="15" customHeight="1" x14ac:dyDescent="0.25">
      <c r="C50" s="13" t="s">
        <v>484</v>
      </c>
    </row>
    <row r="52" spans="2:3" ht="15" customHeight="1" x14ac:dyDescent="0.25">
      <c r="B52" s="13" t="s">
        <v>402</v>
      </c>
      <c r="C52" s="13" t="s">
        <v>485</v>
      </c>
    </row>
    <row r="53" spans="2:3" ht="15" customHeight="1" x14ac:dyDescent="0.25">
      <c r="C53" s="13" t="s">
        <v>486</v>
      </c>
    </row>
    <row r="54" spans="2:3" ht="15" customHeight="1" x14ac:dyDescent="0.25">
      <c r="C54" s="13" t="s">
        <v>403</v>
      </c>
    </row>
    <row r="55" spans="2:3" ht="15" customHeight="1" x14ac:dyDescent="0.25">
      <c r="C55" s="13" t="s">
        <v>404</v>
      </c>
    </row>
    <row r="56" spans="2:3" ht="15" customHeight="1" x14ac:dyDescent="0.25">
      <c r="C56" s="13" t="s">
        <v>409</v>
      </c>
    </row>
    <row r="57" spans="2:3" ht="15" customHeight="1" x14ac:dyDescent="0.25">
      <c r="C57" s="17" t="s">
        <v>487</v>
      </c>
    </row>
    <row r="59" spans="2:3" ht="15" customHeight="1" x14ac:dyDescent="0.25">
      <c r="B59" s="13" t="s">
        <v>412</v>
      </c>
      <c r="C59" s="17" t="s">
        <v>488</v>
      </c>
    </row>
    <row r="60" spans="2:3" ht="15" customHeight="1" x14ac:dyDescent="0.25">
      <c r="C60" s="17" t="s">
        <v>489</v>
      </c>
    </row>
    <row r="61" spans="2:3" ht="15" customHeight="1" x14ac:dyDescent="0.25">
      <c r="C61" s="17" t="s">
        <v>410</v>
      </c>
    </row>
    <row r="62" spans="2:3" ht="15" customHeight="1" x14ac:dyDescent="0.25">
      <c r="C62" s="17" t="s">
        <v>411</v>
      </c>
    </row>
    <row r="63" spans="2:3" ht="15" customHeight="1" x14ac:dyDescent="0.25">
      <c r="C63" s="17" t="s">
        <v>468</v>
      </c>
    </row>
    <row r="64" spans="2:3" ht="15" customHeight="1" x14ac:dyDescent="0.25">
      <c r="C64" s="17" t="s">
        <v>474</v>
      </c>
    </row>
    <row r="67" spans="1:3" ht="15" customHeight="1" x14ac:dyDescent="0.3">
      <c r="A67" s="16" t="s">
        <v>238</v>
      </c>
    </row>
    <row r="68" spans="1:3" ht="15" customHeight="1" x14ac:dyDescent="0.25">
      <c r="B68" s="13" t="s">
        <v>213</v>
      </c>
      <c r="C68" s="13" t="s">
        <v>490</v>
      </c>
    </row>
    <row r="69" spans="1:3" ht="15" customHeight="1" x14ac:dyDescent="0.25">
      <c r="B69" s="13" t="s">
        <v>214</v>
      </c>
      <c r="C69" s="13" t="s">
        <v>216</v>
      </c>
    </row>
    <row r="70" spans="1:3" ht="15" customHeight="1" x14ac:dyDescent="0.25">
      <c r="B70" s="13" t="s">
        <v>242</v>
      </c>
      <c r="C70" s="13" t="s">
        <v>217</v>
      </c>
    </row>
    <row r="71" spans="1:3" ht="15" customHeight="1" x14ac:dyDescent="0.25">
      <c r="B71" s="13" t="s">
        <v>215</v>
      </c>
      <c r="C71" s="13" t="s">
        <v>491</v>
      </c>
    </row>
    <row r="73" spans="1:3" ht="15" customHeight="1" x14ac:dyDescent="0.25">
      <c r="B73" s="13" t="s">
        <v>213</v>
      </c>
      <c r="C73" s="13" t="s">
        <v>542</v>
      </c>
    </row>
    <row r="74" spans="1:3" ht="15" customHeight="1" x14ac:dyDescent="0.25">
      <c r="B74" s="13" t="s">
        <v>214</v>
      </c>
      <c r="C74" s="13" t="s">
        <v>218</v>
      </c>
    </row>
    <row r="75" spans="1:3" ht="15" customHeight="1" x14ac:dyDescent="0.25">
      <c r="B75" s="13" t="s">
        <v>242</v>
      </c>
      <c r="C75" s="13" t="s">
        <v>217</v>
      </c>
    </row>
    <row r="76" spans="1:3" ht="15" customHeight="1" x14ac:dyDescent="0.25">
      <c r="B76" s="13" t="s">
        <v>215</v>
      </c>
      <c r="C76" s="13" t="s">
        <v>543</v>
      </c>
    </row>
    <row r="78" spans="1:3" ht="15" customHeight="1" x14ac:dyDescent="0.25">
      <c r="B78" s="13" t="s">
        <v>213</v>
      </c>
      <c r="C78" s="13" t="s">
        <v>220</v>
      </c>
    </row>
    <row r="79" spans="1:3" ht="15" customHeight="1" x14ac:dyDescent="0.25">
      <c r="B79" s="13" t="s">
        <v>214</v>
      </c>
      <c r="C79" s="13" t="s">
        <v>225</v>
      </c>
    </row>
    <row r="80" spans="1:3" ht="15" customHeight="1" x14ac:dyDescent="0.25">
      <c r="B80" s="13" t="s">
        <v>242</v>
      </c>
      <c r="C80" s="13" t="s">
        <v>222</v>
      </c>
    </row>
    <row r="81" spans="2:3" ht="15" customHeight="1" x14ac:dyDescent="0.25">
      <c r="B81" s="13" t="s">
        <v>215</v>
      </c>
      <c r="C81" s="13" t="s">
        <v>221</v>
      </c>
    </row>
    <row r="83" spans="2:3" ht="15" customHeight="1" x14ac:dyDescent="0.25">
      <c r="B83" s="13" t="s">
        <v>213</v>
      </c>
      <c r="C83" s="13" t="s">
        <v>405</v>
      </c>
    </row>
    <row r="84" spans="2:3" ht="15" customHeight="1" x14ac:dyDescent="0.25">
      <c r="B84" s="13" t="s">
        <v>214</v>
      </c>
      <c r="C84" s="13" t="s">
        <v>406</v>
      </c>
    </row>
    <row r="85" spans="2:3" ht="15" customHeight="1" x14ac:dyDescent="0.25">
      <c r="B85" s="13" t="s">
        <v>242</v>
      </c>
      <c r="C85" s="22" t="s">
        <v>407</v>
      </c>
    </row>
    <row r="86" spans="2:3" ht="15" customHeight="1" x14ac:dyDescent="0.25">
      <c r="B86" s="13" t="s">
        <v>215</v>
      </c>
      <c r="C86" s="13" t="s">
        <v>408</v>
      </c>
    </row>
    <row r="88" spans="2:3" ht="15" customHeight="1" x14ac:dyDescent="0.25">
      <c r="B88" s="13" t="s">
        <v>213</v>
      </c>
      <c r="C88" s="13" t="s">
        <v>219</v>
      </c>
    </row>
    <row r="89" spans="2:3" ht="15" customHeight="1" x14ac:dyDescent="0.25">
      <c r="B89" s="13" t="s">
        <v>214</v>
      </c>
      <c r="C89" s="13" t="s">
        <v>223</v>
      </c>
    </row>
    <row r="90" spans="2:3" ht="15" customHeight="1" x14ac:dyDescent="0.25">
      <c r="B90" s="13" t="s">
        <v>242</v>
      </c>
      <c r="C90" s="22" t="s">
        <v>226</v>
      </c>
    </row>
    <row r="91" spans="2:3" ht="15" customHeight="1" x14ac:dyDescent="0.25">
      <c r="B91" s="13" t="s">
        <v>215</v>
      </c>
      <c r="C91" s="13" t="s">
        <v>224</v>
      </c>
    </row>
    <row r="93" spans="2:3" ht="15" customHeight="1" x14ac:dyDescent="0.25">
      <c r="B93" s="13" t="s">
        <v>213</v>
      </c>
      <c r="C93" s="13" t="s">
        <v>470</v>
      </c>
    </row>
    <row r="94" spans="2:3" ht="15" customHeight="1" x14ac:dyDescent="0.25">
      <c r="B94" s="13" t="s">
        <v>214</v>
      </c>
      <c r="C94" s="13" t="s">
        <v>471</v>
      </c>
    </row>
    <row r="95" spans="2:3" ht="15" customHeight="1" x14ac:dyDescent="0.25">
      <c r="B95" s="13" t="s">
        <v>242</v>
      </c>
      <c r="C95" s="22" t="s">
        <v>472</v>
      </c>
    </row>
    <row r="96" spans="2:3" ht="15" customHeight="1" x14ac:dyDescent="0.25">
      <c r="B96" s="13" t="s">
        <v>215</v>
      </c>
      <c r="C96" s="13" t="s">
        <v>473</v>
      </c>
    </row>
  </sheetData>
  <printOptions gridLines="1"/>
  <pageMargins left="0.39370078740157483" right="0.39370078740157483" top="0.39370078740157483" bottom="0.39370078740157483" header="0.31496062992125984" footer="0.31496062992125984"/>
  <pageSetup paperSize="119" scale="65" orientation="landscape" horizontalDpi="1200" verticalDpi="1200" r:id="rId1"/>
  <rowBreaks count="1" manualBreakCount="1">
    <brk id="58" max="2"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50FC14-A9DA-4350-AFCC-31CDCD1BACDC}">
  <sheetPr>
    <pageSetUpPr fitToPage="1"/>
  </sheetPr>
  <dimension ref="A1:A3"/>
  <sheetViews>
    <sheetView zoomScaleNormal="100" workbookViewId="0"/>
  </sheetViews>
  <sheetFormatPr baseColWidth="10" defaultColWidth="11.453125" defaultRowHeight="15" customHeight="1" x14ac:dyDescent="0.25"/>
  <cols>
    <col min="1" max="3" width="81.453125" style="2" customWidth="1"/>
    <col min="4" max="16384" width="11.453125" style="2"/>
  </cols>
  <sheetData>
    <row r="1" ht="240" customHeight="1" x14ac:dyDescent="0.25"/>
    <row r="2" ht="240" customHeight="1" x14ac:dyDescent="0.25"/>
    <row r="3" ht="240" customHeight="1" x14ac:dyDescent="0.25"/>
  </sheetData>
  <pageMargins left="0.39370078740157483" right="0.39370078740157483" top="0.39370078740157483" bottom="0.39370078740157483" header="0.31496062992125984" footer="0.31496062992125984"/>
  <pageSetup paperSize="119" scale="54"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766E5-3716-4A96-91BF-2A7031FDF25B}">
  <sheetPr>
    <pageSetUpPr fitToPage="1"/>
  </sheetPr>
  <dimension ref="A1:P554"/>
  <sheetViews>
    <sheetView zoomScaleNormal="100" zoomScaleSheetLayoutView="100" workbookViewId="0">
      <pane xSplit="4" ySplit="4" topLeftCell="E5" activePane="bottomRight" state="frozen"/>
      <selection pane="topRight" activeCell="E1" sqref="E1"/>
      <selection pane="bottomLeft" activeCell="A5" sqref="A5"/>
      <selection pane="bottomRight"/>
    </sheetView>
  </sheetViews>
  <sheetFormatPr baseColWidth="10" defaultColWidth="11.453125" defaultRowHeight="15" customHeight="1" outlineLevelRow="1" x14ac:dyDescent="0.25"/>
  <cols>
    <col min="1" max="1" width="11.453125" style="20"/>
    <col min="2" max="2" width="11.453125" style="20" customWidth="1"/>
    <col min="3" max="3" width="46.26953125" style="20" customWidth="1"/>
    <col min="4" max="4" width="2.81640625" style="18" customWidth="1"/>
    <col min="5" max="13" width="11.453125" style="34" customWidth="1"/>
    <col min="14" max="14" width="2.81640625" style="18" customWidth="1"/>
    <col min="15" max="15" width="11.453125" style="20"/>
    <col min="16" max="16" width="61" style="20" bestFit="1" customWidth="1"/>
    <col min="17" max="16384" width="11.453125" style="20"/>
  </cols>
  <sheetData>
    <row r="1" spans="1:16" ht="17.5" x14ac:dyDescent="0.35">
      <c r="A1" s="36" t="s">
        <v>369</v>
      </c>
    </row>
    <row r="2" spans="1:16" ht="15" customHeight="1" x14ac:dyDescent="0.25">
      <c r="B2" s="20" t="s">
        <v>356</v>
      </c>
      <c r="E2" s="34" t="s">
        <v>370</v>
      </c>
      <c r="F2" s="34" t="s">
        <v>376</v>
      </c>
      <c r="G2" s="34" t="s">
        <v>378</v>
      </c>
      <c r="H2" s="34" t="s">
        <v>381</v>
      </c>
      <c r="I2" s="34" t="s">
        <v>383</v>
      </c>
      <c r="J2" s="34" t="s">
        <v>386</v>
      </c>
      <c r="K2" s="34" t="s">
        <v>390</v>
      </c>
      <c r="L2" s="34" t="s">
        <v>391</v>
      </c>
      <c r="M2" s="34" t="s">
        <v>393</v>
      </c>
      <c r="O2" s="20" t="s">
        <v>81</v>
      </c>
      <c r="P2" s="20" t="s">
        <v>82</v>
      </c>
    </row>
    <row r="3" spans="1:16" ht="15" customHeight="1" x14ac:dyDescent="0.25">
      <c r="B3" s="20" t="s">
        <v>371</v>
      </c>
      <c r="E3" s="35" t="s">
        <v>1</v>
      </c>
      <c r="F3" s="35" t="s">
        <v>377</v>
      </c>
      <c r="G3" s="35" t="s">
        <v>379</v>
      </c>
      <c r="H3" s="35" t="s">
        <v>382</v>
      </c>
      <c r="I3" s="35" t="s">
        <v>382</v>
      </c>
      <c r="J3" s="35" t="s">
        <v>382</v>
      </c>
      <c r="K3" s="35" t="s">
        <v>382</v>
      </c>
      <c r="L3" s="35" t="s">
        <v>382</v>
      </c>
      <c r="M3" s="35" t="s">
        <v>1</v>
      </c>
    </row>
    <row r="4" spans="1:16" ht="15" customHeight="1" x14ac:dyDescent="0.25">
      <c r="B4" s="20" t="s">
        <v>372</v>
      </c>
      <c r="E4" s="35" t="s">
        <v>1</v>
      </c>
      <c r="F4" s="35" t="s">
        <v>1</v>
      </c>
      <c r="G4" s="35" t="s">
        <v>1</v>
      </c>
      <c r="H4" s="35" t="s">
        <v>1</v>
      </c>
      <c r="I4" s="35" t="s">
        <v>384</v>
      </c>
      <c r="J4" s="35" t="s">
        <v>387</v>
      </c>
      <c r="K4" s="35" t="s">
        <v>389</v>
      </c>
      <c r="L4" s="35" t="s">
        <v>392</v>
      </c>
      <c r="M4" s="35" t="s">
        <v>392</v>
      </c>
    </row>
    <row r="5" spans="1:16" ht="15" customHeight="1" x14ac:dyDescent="0.25">
      <c r="E5" s="9"/>
      <c r="F5" s="9"/>
      <c r="G5" s="9"/>
      <c r="H5" s="9"/>
      <c r="I5" s="9"/>
      <c r="J5" s="9"/>
      <c r="K5" s="9"/>
      <c r="L5" s="9"/>
      <c r="M5" s="9"/>
    </row>
    <row r="6" spans="1:16" ht="15" customHeight="1" x14ac:dyDescent="0.25">
      <c r="E6" s="9"/>
      <c r="F6" s="9"/>
      <c r="G6" s="9"/>
      <c r="H6" s="9"/>
      <c r="I6" s="9"/>
      <c r="J6" s="9"/>
      <c r="K6" s="9"/>
      <c r="L6" s="9"/>
      <c r="M6" s="9"/>
    </row>
    <row r="7" spans="1:16" ht="15" customHeight="1" x14ac:dyDescent="0.3">
      <c r="A7" s="37" t="s">
        <v>456</v>
      </c>
    </row>
    <row r="8" spans="1:16" ht="15" hidden="1" customHeight="1" outlineLevel="1" x14ac:dyDescent="0.25">
      <c r="B8" s="20" t="s">
        <v>3</v>
      </c>
      <c r="C8" s="21" t="s">
        <v>115</v>
      </c>
      <c r="E8" s="7">
        <f t="shared" ref="E8:J8" si="0">E333</f>
        <v>3</v>
      </c>
      <c r="F8" s="7">
        <f t="shared" si="0"/>
        <v>3</v>
      </c>
      <c r="G8" s="7">
        <f t="shared" si="0"/>
        <v>3</v>
      </c>
      <c r="H8" s="7">
        <f t="shared" si="0"/>
        <v>3</v>
      </c>
      <c r="I8" s="7">
        <f t="shared" si="0"/>
        <v>3</v>
      </c>
      <c r="J8" s="7">
        <f t="shared" si="0"/>
        <v>3</v>
      </c>
      <c r="K8" s="7">
        <f>K333</f>
        <v>3</v>
      </c>
      <c r="L8" s="7">
        <f>L333</f>
        <v>3</v>
      </c>
      <c r="M8" s="7">
        <f>M333</f>
        <v>3</v>
      </c>
      <c r="P8" s="21" t="s">
        <v>492</v>
      </c>
    </row>
    <row r="9" spans="1:16" ht="15" hidden="1" customHeight="1" outlineLevel="1" x14ac:dyDescent="0.25">
      <c r="B9" s="20" t="s">
        <v>450</v>
      </c>
      <c r="C9" s="21" t="s">
        <v>451</v>
      </c>
      <c r="E9" s="7">
        <f t="shared" ref="E9:M9" si="1">E335</f>
        <v>3</v>
      </c>
      <c r="F9" s="7">
        <f t="shared" si="1"/>
        <v>3</v>
      </c>
      <c r="G9" s="7">
        <f t="shared" si="1"/>
        <v>3</v>
      </c>
      <c r="H9" s="7">
        <f t="shared" si="1"/>
        <v>3</v>
      </c>
      <c r="I9" s="7">
        <f t="shared" si="1"/>
        <v>3</v>
      </c>
      <c r="J9" s="7">
        <f t="shared" si="1"/>
        <v>3</v>
      </c>
      <c r="K9" s="7">
        <f t="shared" si="1"/>
        <v>3</v>
      </c>
      <c r="L9" s="7">
        <f t="shared" si="1"/>
        <v>3</v>
      </c>
      <c r="M9" s="7">
        <f t="shared" si="1"/>
        <v>3</v>
      </c>
      <c r="P9" s="21" t="s">
        <v>492</v>
      </c>
    </row>
    <row r="10" spans="1:16" ht="15" hidden="1" customHeight="1" outlineLevel="1" x14ac:dyDescent="0.25">
      <c r="B10" s="20" t="s">
        <v>449</v>
      </c>
      <c r="C10" s="21" t="s">
        <v>211</v>
      </c>
      <c r="E10" s="7">
        <f t="shared" ref="E10:M10" si="2">E338</f>
        <v>2</v>
      </c>
      <c r="F10" s="7">
        <f t="shared" si="2"/>
        <v>2</v>
      </c>
      <c r="G10" s="7">
        <f t="shared" si="2"/>
        <v>2</v>
      </c>
      <c r="H10" s="7">
        <f t="shared" si="2"/>
        <v>2</v>
      </c>
      <c r="I10" s="7">
        <f t="shared" si="2"/>
        <v>2</v>
      </c>
      <c r="J10" s="7">
        <f t="shared" si="2"/>
        <v>2</v>
      </c>
      <c r="K10" s="7">
        <f t="shared" si="2"/>
        <v>2</v>
      </c>
      <c r="L10" s="7">
        <f t="shared" si="2"/>
        <v>2</v>
      </c>
      <c r="M10" s="7">
        <f t="shared" si="2"/>
        <v>2</v>
      </c>
      <c r="P10" s="21" t="s">
        <v>492</v>
      </c>
    </row>
    <row r="11" spans="1:16" ht="15" hidden="1" customHeight="1" outlineLevel="1" x14ac:dyDescent="0.25">
      <c r="B11" s="20" t="s">
        <v>452</v>
      </c>
      <c r="C11" s="21" t="s">
        <v>453</v>
      </c>
      <c r="E11" s="51">
        <f>E336</f>
        <v>0.5824474521506261</v>
      </c>
      <c r="F11" s="51">
        <f t="shared" ref="F11:M11" si="3">F336</f>
        <v>0.5824474521506261</v>
      </c>
      <c r="G11" s="51">
        <f t="shared" si="3"/>
        <v>0.5824474521506261</v>
      </c>
      <c r="H11" s="51">
        <f t="shared" si="3"/>
        <v>0.5824474521506261</v>
      </c>
      <c r="I11" s="51">
        <f t="shared" si="3"/>
        <v>0.5824474521506261</v>
      </c>
      <c r="J11" s="51">
        <f t="shared" si="3"/>
        <v>0.5824474521506261</v>
      </c>
      <c r="K11" s="51">
        <f t="shared" si="3"/>
        <v>0.5824474521506261</v>
      </c>
      <c r="L11" s="51">
        <f t="shared" si="3"/>
        <v>0.5824474521506261</v>
      </c>
      <c r="M11" s="51">
        <f t="shared" si="3"/>
        <v>0.5824474521506261</v>
      </c>
      <c r="P11" s="20" t="s">
        <v>493</v>
      </c>
    </row>
    <row r="12" spans="1:16" ht="15" hidden="1" customHeight="1" outlineLevel="1" x14ac:dyDescent="0.25">
      <c r="B12" s="20" t="s">
        <v>454</v>
      </c>
      <c r="C12" s="21" t="s">
        <v>455</v>
      </c>
      <c r="E12" s="51">
        <f>E339</f>
        <v>0.43916537892157215</v>
      </c>
      <c r="F12" s="51">
        <f t="shared" ref="F12:M12" si="4">F339</f>
        <v>0.43916537892157215</v>
      </c>
      <c r="G12" s="51">
        <f t="shared" si="4"/>
        <v>0.43916537892157215</v>
      </c>
      <c r="H12" s="51">
        <f t="shared" si="4"/>
        <v>0.43916537892157215</v>
      </c>
      <c r="I12" s="51">
        <f t="shared" si="4"/>
        <v>0.43916537892157215</v>
      </c>
      <c r="J12" s="51">
        <f t="shared" si="4"/>
        <v>0.43916537892157215</v>
      </c>
      <c r="K12" s="51">
        <f t="shared" si="4"/>
        <v>0.43916537892157215</v>
      </c>
      <c r="L12" s="51">
        <f t="shared" si="4"/>
        <v>0.43916537892157215</v>
      </c>
      <c r="M12" s="51">
        <f t="shared" si="4"/>
        <v>0.43916537892157215</v>
      </c>
      <c r="P12" s="20" t="s">
        <v>493</v>
      </c>
    </row>
    <row r="13" spans="1:16" ht="15" hidden="1" customHeight="1" outlineLevel="1" x14ac:dyDescent="0.25">
      <c r="A13" s="38"/>
      <c r="B13" s="20" t="s">
        <v>98</v>
      </c>
      <c r="C13" s="21" t="s">
        <v>99</v>
      </c>
      <c r="E13" s="65">
        <f>IF(E8=1,E342,IF(E8=2,E353,IF(E8=3,IF(AND(E10=3,E9&lt;&gt;3),E376,IF(AND(E9=3,E10&lt;&gt;3),E364,"le chiffrier ne couvre pas le cas où la semelle et l'âme sont de classe 3")))))</f>
        <v>699.06719999999996</v>
      </c>
      <c r="F13" s="65">
        <f t="shared" ref="F13:M13" si="5">IF(F8=1,F342,IF(F8=2,F353,IF(F8=3,IF(AND(F10=3,F9&lt;&gt;3),F376,IF(AND(F9=3,F10&lt;&gt;3),F364,"le chiffrier ne couvre pas le cas où la semelle et l'âme sont de classe 3")))))</f>
        <v>699.06719999999996</v>
      </c>
      <c r="G13" s="65">
        <f t="shared" si="5"/>
        <v>686.12978055555561</v>
      </c>
      <c r="H13" s="65">
        <f t="shared" si="5"/>
        <v>572.41108294677736</v>
      </c>
      <c r="I13" s="65">
        <f t="shared" si="5"/>
        <v>434.18679319664625</v>
      </c>
      <c r="J13" s="65">
        <f t="shared" si="5"/>
        <v>411.08203235416465</v>
      </c>
      <c r="K13" s="65">
        <f t="shared" si="5"/>
        <v>549.69195773011063</v>
      </c>
      <c r="L13" s="65">
        <f t="shared" si="5"/>
        <v>350.2187713196069</v>
      </c>
      <c r="M13" s="65">
        <f t="shared" si="5"/>
        <v>350.2187713196069</v>
      </c>
      <c r="O13" s="20" t="s">
        <v>6</v>
      </c>
      <c r="P13" s="20" t="s">
        <v>494</v>
      </c>
    </row>
    <row r="14" spans="1:16" ht="15" hidden="1" customHeight="1" outlineLevel="1" x14ac:dyDescent="0.25">
      <c r="B14" s="20" t="s">
        <v>95</v>
      </c>
      <c r="C14" s="21" t="s">
        <v>94</v>
      </c>
      <c r="E14" s="65">
        <f t="shared" ref="E14:J14" si="6">E390</f>
        <v>587.62565516104701</v>
      </c>
      <c r="F14" s="65">
        <f t="shared" si="6"/>
        <v>463.84121962524159</v>
      </c>
      <c r="G14" s="65">
        <f t="shared" si="6"/>
        <v>455.44417901595148</v>
      </c>
      <c r="H14" s="65">
        <f t="shared" si="6"/>
        <v>436.76610908632171</v>
      </c>
      <c r="I14" s="65">
        <f t="shared" si="6"/>
        <v>407.16605398282377</v>
      </c>
      <c r="J14" s="65">
        <f t="shared" si="6"/>
        <v>407.16605398282377</v>
      </c>
      <c r="K14" s="65">
        <f>K390</f>
        <v>359.12509384866559</v>
      </c>
      <c r="L14" s="65">
        <f>L390</f>
        <v>274.22838075776212</v>
      </c>
      <c r="M14" s="65">
        <f>M390</f>
        <v>291.32052445290157</v>
      </c>
      <c r="O14" s="20" t="s">
        <v>6</v>
      </c>
      <c r="P14" s="20" t="s">
        <v>494</v>
      </c>
    </row>
    <row r="15" spans="1:16" ht="15" hidden="1" customHeight="1" outlineLevel="1" x14ac:dyDescent="0.25">
      <c r="B15" s="20" t="s">
        <v>29</v>
      </c>
      <c r="C15" s="21" t="s">
        <v>104</v>
      </c>
      <c r="E15" s="7">
        <f t="shared" ref="E15:J15" si="7">E486</f>
        <v>1077.7310818077303</v>
      </c>
      <c r="F15" s="7">
        <f t="shared" si="7"/>
        <v>1012.2430623145581</v>
      </c>
      <c r="G15" s="7">
        <f t="shared" si="7"/>
        <v>1012.2430623145581</v>
      </c>
      <c r="H15" s="7">
        <f t="shared" si="7"/>
        <v>1012.2430623145581</v>
      </c>
      <c r="I15" s="7">
        <f t="shared" si="7"/>
        <v>1012.2430623145581</v>
      </c>
      <c r="J15" s="7">
        <f t="shared" si="7"/>
        <v>1012.2430623145581</v>
      </c>
      <c r="K15" s="7">
        <f>K486</f>
        <v>1012.2430623145581</v>
      </c>
      <c r="L15" s="7">
        <f>L486</f>
        <v>1012.2430623145581</v>
      </c>
      <c r="M15" s="7">
        <f>M486</f>
        <v>1012.2430623145581</v>
      </c>
      <c r="O15" s="1" t="s">
        <v>5</v>
      </c>
      <c r="P15" s="20" t="s">
        <v>495</v>
      </c>
    </row>
    <row r="16" spans="1:16" ht="15" hidden="1" customHeight="1" outlineLevel="1" x14ac:dyDescent="0.25">
      <c r="B16" s="20" t="s">
        <v>29</v>
      </c>
      <c r="C16" s="21" t="s">
        <v>106</v>
      </c>
      <c r="E16" s="7">
        <f t="shared" ref="E16:J16" si="8">E502</f>
        <v>1159.704833444805</v>
      </c>
      <c r="F16" s="7">
        <f t="shared" si="8"/>
        <v>1156.2386979935413</v>
      </c>
      <c r="G16" s="7">
        <f t="shared" si="8"/>
        <v>1156.2386979935413</v>
      </c>
      <c r="H16" s="7">
        <f t="shared" si="8"/>
        <v>1156.2386979935413</v>
      </c>
      <c r="I16" s="7">
        <f t="shared" si="8"/>
        <v>1156.2386979935413</v>
      </c>
      <c r="J16" s="7">
        <f t="shared" si="8"/>
        <v>1156.2386979935413</v>
      </c>
      <c r="K16" s="7">
        <f>K502</f>
        <v>1156.2386979935413</v>
      </c>
      <c r="L16" s="7">
        <f>L502</f>
        <v>1156.2386979935413</v>
      </c>
      <c r="M16" s="7">
        <f>M502</f>
        <v>1156.2386979935413</v>
      </c>
      <c r="O16" s="1" t="s">
        <v>5</v>
      </c>
      <c r="P16" s="20" t="s">
        <v>495</v>
      </c>
    </row>
    <row r="17" spans="1:16" ht="15" customHeight="1" collapsed="1" x14ac:dyDescent="0.25">
      <c r="C17" s="21"/>
    </row>
    <row r="18" spans="1:16" ht="15" customHeight="1" x14ac:dyDescent="0.25">
      <c r="C18" s="21"/>
    </row>
    <row r="19" spans="1:16" ht="15" customHeight="1" x14ac:dyDescent="0.3">
      <c r="A19" s="37" t="s">
        <v>457</v>
      </c>
      <c r="C19" s="21"/>
    </row>
    <row r="20" spans="1:16" ht="15" hidden="1" customHeight="1" outlineLevel="1" x14ac:dyDescent="0.25">
      <c r="C20" s="21"/>
    </row>
    <row r="21" spans="1:16" ht="15" hidden="1" customHeight="1" outlineLevel="1" x14ac:dyDescent="0.25">
      <c r="A21" s="39" t="s">
        <v>266</v>
      </c>
      <c r="C21" s="40"/>
    </row>
    <row r="22" spans="1:16" ht="15" hidden="1" customHeight="1" outlineLevel="1" x14ac:dyDescent="0.25">
      <c r="A22" s="38"/>
      <c r="B22" s="1" t="s">
        <v>36</v>
      </c>
      <c r="C22" s="21" t="s">
        <v>97</v>
      </c>
      <c r="D22" s="41"/>
      <c r="E22" s="42">
        <v>240</v>
      </c>
      <c r="F22" s="42">
        <f t="shared" ref="F22:M22" si="9">$E22</f>
        <v>240</v>
      </c>
      <c r="G22" s="42">
        <f t="shared" si="9"/>
        <v>240</v>
      </c>
      <c r="H22" s="42">
        <f t="shared" si="9"/>
        <v>240</v>
      </c>
      <c r="I22" s="42">
        <f t="shared" si="9"/>
        <v>240</v>
      </c>
      <c r="J22" s="42">
        <f t="shared" si="9"/>
        <v>240</v>
      </c>
      <c r="K22" s="42">
        <f t="shared" si="9"/>
        <v>240</v>
      </c>
      <c r="L22" s="42">
        <f t="shared" si="9"/>
        <v>240</v>
      </c>
      <c r="M22" s="42">
        <f t="shared" si="9"/>
        <v>240</v>
      </c>
      <c r="N22" s="41"/>
      <c r="O22" s="43" t="s">
        <v>8</v>
      </c>
      <c r="P22" s="20" t="s">
        <v>496</v>
      </c>
    </row>
    <row r="23" spans="1:16" ht="15" hidden="1" customHeight="1" outlineLevel="1" x14ac:dyDescent="0.25">
      <c r="A23" s="38"/>
      <c r="B23" s="1" t="s">
        <v>137</v>
      </c>
      <c r="C23" s="21" t="s">
        <v>139</v>
      </c>
      <c r="D23" s="41"/>
      <c r="E23" s="42">
        <v>260</v>
      </c>
      <c r="F23" s="42">
        <f t="shared" ref="F23:M26" si="10">$E23</f>
        <v>260</v>
      </c>
      <c r="G23" s="42">
        <f t="shared" si="10"/>
        <v>260</v>
      </c>
      <c r="H23" s="42">
        <f t="shared" si="10"/>
        <v>260</v>
      </c>
      <c r="I23" s="42">
        <f t="shared" si="10"/>
        <v>260</v>
      </c>
      <c r="J23" s="42">
        <f t="shared" si="10"/>
        <v>260</v>
      </c>
      <c r="K23" s="42">
        <f t="shared" si="10"/>
        <v>260</v>
      </c>
      <c r="L23" s="42">
        <f t="shared" si="10"/>
        <v>260</v>
      </c>
      <c r="M23" s="42">
        <f t="shared" si="10"/>
        <v>260</v>
      </c>
      <c r="N23" s="41"/>
      <c r="O23" s="43" t="s">
        <v>8</v>
      </c>
      <c r="P23" s="20" t="s">
        <v>496</v>
      </c>
    </row>
    <row r="24" spans="1:16" ht="15" hidden="1" customHeight="1" outlineLevel="1" x14ac:dyDescent="0.25">
      <c r="A24" s="38"/>
      <c r="B24" s="1" t="s">
        <v>39</v>
      </c>
      <c r="C24" s="21" t="s">
        <v>96</v>
      </c>
      <c r="D24" s="41"/>
      <c r="E24" s="42">
        <v>105</v>
      </c>
      <c r="F24" s="42">
        <f t="shared" si="10"/>
        <v>105</v>
      </c>
      <c r="G24" s="42">
        <f t="shared" si="10"/>
        <v>105</v>
      </c>
      <c r="H24" s="42">
        <f t="shared" si="10"/>
        <v>105</v>
      </c>
      <c r="I24" s="42">
        <f t="shared" si="10"/>
        <v>105</v>
      </c>
      <c r="J24" s="42">
        <f t="shared" si="10"/>
        <v>105</v>
      </c>
      <c r="K24" s="42">
        <f t="shared" si="10"/>
        <v>105</v>
      </c>
      <c r="L24" s="42">
        <f t="shared" si="10"/>
        <v>105</v>
      </c>
      <c r="M24" s="42">
        <f t="shared" si="10"/>
        <v>105</v>
      </c>
      <c r="N24" s="41"/>
      <c r="O24" s="43" t="s">
        <v>8</v>
      </c>
      <c r="P24" s="20" t="s">
        <v>496</v>
      </c>
    </row>
    <row r="25" spans="1:16" ht="15" hidden="1" customHeight="1" outlineLevel="1" x14ac:dyDescent="0.25">
      <c r="A25" s="38"/>
      <c r="B25" s="1" t="s">
        <v>30</v>
      </c>
      <c r="C25" s="21" t="s">
        <v>45</v>
      </c>
      <c r="D25" s="41"/>
      <c r="E25" s="42">
        <v>70000</v>
      </c>
      <c r="F25" s="42">
        <f t="shared" si="10"/>
        <v>70000</v>
      </c>
      <c r="G25" s="42">
        <f t="shared" si="10"/>
        <v>70000</v>
      </c>
      <c r="H25" s="42">
        <f t="shared" si="10"/>
        <v>70000</v>
      </c>
      <c r="I25" s="42">
        <f t="shared" si="10"/>
        <v>70000</v>
      </c>
      <c r="J25" s="42">
        <f t="shared" si="10"/>
        <v>70000</v>
      </c>
      <c r="K25" s="42">
        <f t="shared" si="10"/>
        <v>70000</v>
      </c>
      <c r="L25" s="42">
        <f t="shared" si="10"/>
        <v>70000</v>
      </c>
      <c r="M25" s="42">
        <f t="shared" si="10"/>
        <v>70000</v>
      </c>
      <c r="N25" s="41"/>
      <c r="O25" s="43" t="s">
        <v>8</v>
      </c>
      <c r="P25" s="20" t="s">
        <v>497</v>
      </c>
    </row>
    <row r="26" spans="1:16" ht="15" hidden="1" customHeight="1" outlineLevel="1" x14ac:dyDescent="0.25">
      <c r="A26" s="38"/>
      <c r="B26" s="1" t="s">
        <v>195</v>
      </c>
      <c r="C26" s="21" t="s">
        <v>197</v>
      </c>
      <c r="D26" s="41"/>
      <c r="E26" s="42">
        <v>26000</v>
      </c>
      <c r="F26" s="42">
        <f t="shared" si="10"/>
        <v>26000</v>
      </c>
      <c r="G26" s="42">
        <f t="shared" si="10"/>
        <v>26000</v>
      </c>
      <c r="H26" s="42">
        <f t="shared" si="10"/>
        <v>26000</v>
      </c>
      <c r="I26" s="42">
        <f t="shared" si="10"/>
        <v>26000</v>
      </c>
      <c r="J26" s="42">
        <f t="shared" si="10"/>
        <v>26000</v>
      </c>
      <c r="K26" s="42">
        <f t="shared" si="10"/>
        <v>26000</v>
      </c>
      <c r="L26" s="42">
        <f t="shared" si="10"/>
        <v>26000</v>
      </c>
      <c r="M26" s="42">
        <f t="shared" si="10"/>
        <v>26000</v>
      </c>
      <c r="N26" s="41"/>
      <c r="O26" s="43" t="s">
        <v>8</v>
      </c>
      <c r="P26" s="20" t="s">
        <v>497</v>
      </c>
    </row>
    <row r="27" spans="1:16" ht="15" hidden="1" customHeight="1" outlineLevel="1" x14ac:dyDescent="0.25">
      <c r="C27" s="21"/>
    </row>
    <row r="28" spans="1:16" ht="15" hidden="1" customHeight="1" outlineLevel="1" x14ac:dyDescent="0.25">
      <c r="A28" s="39" t="s">
        <v>93</v>
      </c>
      <c r="C28" s="40"/>
    </row>
    <row r="29" spans="1:16" ht="15" hidden="1" customHeight="1" outlineLevel="1" x14ac:dyDescent="0.25">
      <c r="B29" s="20" t="s">
        <v>22</v>
      </c>
      <c r="C29" s="21" t="s">
        <v>23</v>
      </c>
      <c r="E29" s="44">
        <v>600</v>
      </c>
      <c r="F29" s="44">
        <f t="shared" ref="F29:M34" si="11">$E29</f>
        <v>600</v>
      </c>
      <c r="G29" s="44">
        <f t="shared" si="11"/>
        <v>600</v>
      </c>
      <c r="H29" s="44">
        <f t="shared" si="11"/>
        <v>600</v>
      </c>
      <c r="I29" s="44">
        <f t="shared" si="11"/>
        <v>600</v>
      </c>
      <c r="J29" s="44">
        <f t="shared" si="11"/>
        <v>600</v>
      </c>
      <c r="K29" s="44">
        <f t="shared" si="11"/>
        <v>600</v>
      </c>
      <c r="L29" s="44">
        <f t="shared" si="11"/>
        <v>600</v>
      </c>
      <c r="M29" s="44">
        <f t="shared" si="11"/>
        <v>600</v>
      </c>
      <c r="O29" s="20" t="s">
        <v>0</v>
      </c>
    </row>
    <row r="30" spans="1:16" ht="15" hidden="1" customHeight="1" outlineLevel="1" x14ac:dyDescent="0.25">
      <c r="B30" s="20" t="s">
        <v>48</v>
      </c>
      <c r="C30" s="21" t="s">
        <v>19</v>
      </c>
      <c r="E30" s="44">
        <v>20</v>
      </c>
      <c r="F30" s="44">
        <f t="shared" si="11"/>
        <v>20</v>
      </c>
      <c r="G30" s="44">
        <f t="shared" si="11"/>
        <v>20</v>
      </c>
      <c r="H30" s="44">
        <f t="shared" si="11"/>
        <v>20</v>
      </c>
      <c r="I30" s="44">
        <f t="shared" si="11"/>
        <v>20</v>
      </c>
      <c r="J30" s="44">
        <f t="shared" si="11"/>
        <v>20</v>
      </c>
      <c r="K30" s="44">
        <f t="shared" si="11"/>
        <v>20</v>
      </c>
      <c r="L30" s="44">
        <f t="shared" si="11"/>
        <v>20</v>
      </c>
      <c r="M30" s="44">
        <f t="shared" si="11"/>
        <v>20</v>
      </c>
      <c r="O30" s="20" t="s">
        <v>0</v>
      </c>
    </row>
    <row r="31" spans="1:16" ht="15" hidden="1" customHeight="1" outlineLevel="1" x14ac:dyDescent="0.25">
      <c r="B31" s="20" t="s">
        <v>49</v>
      </c>
      <c r="C31" s="21" t="s">
        <v>18</v>
      </c>
      <c r="E31" s="44">
        <v>250</v>
      </c>
      <c r="F31" s="44">
        <f t="shared" si="11"/>
        <v>250</v>
      </c>
      <c r="G31" s="44">
        <f t="shared" si="11"/>
        <v>250</v>
      </c>
      <c r="H31" s="44">
        <f t="shared" si="11"/>
        <v>250</v>
      </c>
      <c r="I31" s="44">
        <f t="shared" si="11"/>
        <v>250</v>
      </c>
      <c r="J31" s="44">
        <f t="shared" si="11"/>
        <v>250</v>
      </c>
      <c r="K31" s="44">
        <f t="shared" si="11"/>
        <v>250</v>
      </c>
      <c r="L31" s="44">
        <f t="shared" si="11"/>
        <v>250</v>
      </c>
      <c r="M31" s="44">
        <f t="shared" si="11"/>
        <v>250</v>
      </c>
      <c r="O31" s="20" t="s">
        <v>0</v>
      </c>
    </row>
    <row r="32" spans="1:16" ht="15" hidden="1" customHeight="1" outlineLevel="1" x14ac:dyDescent="0.25">
      <c r="B32" s="20" t="s">
        <v>46</v>
      </c>
      <c r="C32" s="21" t="s">
        <v>21</v>
      </c>
      <c r="E32" s="44">
        <f>E30</f>
        <v>20</v>
      </c>
      <c r="F32" s="44">
        <f t="shared" si="11"/>
        <v>20</v>
      </c>
      <c r="G32" s="44">
        <f t="shared" si="11"/>
        <v>20</v>
      </c>
      <c r="H32" s="44">
        <f t="shared" si="11"/>
        <v>20</v>
      </c>
      <c r="I32" s="44">
        <f t="shared" si="11"/>
        <v>20</v>
      </c>
      <c r="J32" s="44">
        <f t="shared" si="11"/>
        <v>20</v>
      </c>
      <c r="K32" s="44">
        <f t="shared" si="11"/>
        <v>20</v>
      </c>
      <c r="L32" s="44">
        <f t="shared" si="11"/>
        <v>20</v>
      </c>
      <c r="M32" s="44">
        <f t="shared" si="11"/>
        <v>20</v>
      </c>
      <c r="O32" s="20" t="s">
        <v>0</v>
      </c>
    </row>
    <row r="33" spans="1:16" ht="15" hidden="1" customHeight="1" outlineLevel="1" x14ac:dyDescent="0.25">
      <c r="B33" s="20" t="s">
        <v>47</v>
      </c>
      <c r="C33" s="21" t="s">
        <v>20</v>
      </c>
      <c r="E33" s="44">
        <f>E31</f>
        <v>250</v>
      </c>
      <c r="F33" s="44">
        <f t="shared" si="11"/>
        <v>250</v>
      </c>
      <c r="G33" s="44">
        <f t="shared" si="11"/>
        <v>250</v>
      </c>
      <c r="H33" s="44">
        <f t="shared" si="11"/>
        <v>250</v>
      </c>
      <c r="I33" s="44">
        <f t="shared" si="11"/>
        <v>250</v>
      </c>
      <c r="J33" s="44">
        <f t="shared" si="11"/>
        <v>250</v>
      </c>
      <c r="K33" s="44">
        <f t="shared" si="11"/>
        <v>250</v>
      </c>
      <c r="L33" s="44">
        <f t="shared" si="11"/>
        <v>250</v>
      </c>
      <c r="M33" s="44">
        <f t="shared" si="11"/>
        <v>250</v>
      </c>
      <c r="O33" s="20" t="s">
        <v>0</v>
      </c>
    </row>
    <row r="34" spans="1:16" ht="15" hidden="1" customHeight="1" outlineLevel="1" x14ac:dyDescent="0.25">
      <c r="B34" s="20" t="s">
        <v>7</v>
      </c>
      <c r="C34" s="21" t="s">
        <v>16</v>
      </c>
      <c r="E34" s="44">
        <v>16</v>
      </c>
      <c r="F34" s="44">
        <f t="shared" si="11"/>
        <v>16</v>
      </c>
      <c r="G34" s="44">
        <f t="shared" si="11"/>
        <v>16</v>
      </c>
      <c r="H34" s="44">
        <f t="shared" si="11"/>
        <v>16</v>
      </c>
      <c r="I34" s="44">
        <f t="shared" si="11"/>
        <v>16</v>
      </c>
      <c r="J34" s="44">
        <f t="shared" si="11"/>
        <v>16</v>
      </c>
      <c r="K34" s="44">
        <f t="shared" si="11"/>
        <v>16</v>
      </c>
      <c r="L34" s="44">
        <f t="shared" si="11"/>
        <v>16</v>
      </c>
      <c r="M34" s="44">
        <f t="shared" si="11"/>
        <v>16</v>
      </c>
      <c r="O34" s="20" t="s">
        <v>0</v>
      </c>
    </row>
    <row r="35" spans="1:16" ht="15" hidden="1" customHeight="1" outlineLevel="1" x14ac:dyDescent="0.25">
      <c r="B35" s="20" t="s">
        <v>14</v>
      </c>
      <c r="C35" s="21" t="s">
        <v>15</v>
      </c>
      <c r="E35" s="45">
        <f t="shared" ref="E35:M35" si="12">E29-E32-E30</f>
        <v>560</v>
      </c>
      <c r="F35" s="45">
        <f t="shared" si="12"/>
        <v>560</v>
      </c>
      <c r="G35" s="45">
        <f t="shared" si="12"/>
        <v>560</v>
      </c>
      <c r="H35" s="45">
        <f t="shared" si="12"/>
        <v>560</v>
      </c>
      <c r="I35" s="45">
        <f t="shared" si="12"/>
        <v>560</v>
      </c>
      <c r="J35" s="45">
        <f t="shared" si="12"/>
        <v>560</v>
      </c>
      <c r="K35" s="45">
        <f t="shared" si="12"/>
        <v>560</v>
      </c>
      <c r="L35" s="45">
        <f t="shared" si="12"/>
        <v>560</v>
      </c>
      <c r="M35" s="45">
        <f t="shared" si="12"/>
        <v>560</v>
      </c>
      <c r="O35" s="20" t="s">
        <v>0</v>
      </c>
    </row>
    <row r="36" spans="1:16" ht="15" hidden="1" customHeight="1" outlineLevel="1" x14ac:dyDescent="0.25">
      <c r="B36" s="20" t="s">
        <v>4</v>
      </c>
      <c r="C36" s="21" t="s">
        <v>13</v>
      </c>
      <c r="E36" s="44">
        <v>2700</v>
      </c>
      <c r="F36" s="44">
        <f t="shared" ref="F36:M39" si="13">$E36</f>
        <v>2700</v>
      </c>
      <c r="G36" s="44">
        <f t="shared" si="13"/>
        <v>2700</v>
      </c>
      <c r="H36" s="44">
        <f t="shared" si="13"/>
        <v>2700</v>
      </c>
      <c r="I36" s="44">
        <f t="shared" si="13"/>
        <v>2700</v>
      </c>
      <c r="J36" s="44">
        <f t="shared" si="13"/>
        <v>2700</v>
      </c>
      <c r="K36" s="44">
        <f t="shared" si="13"/>
        <v>2700</v>
      </c>
      <c r="L36" s="44">
        <f t="shared" si="13"/>
        <v>2700</v>
      </c>
      <c r="M36" s="44">
        <f t="shared" si="13"/>
        <v>2700</v>
      </c>
      <c r="O36" s="20" t="s">
        <v>0</v>
      </c>
      <c r="P36" s="20" t="s">
        <v>498</v>
      </c>
    </row>
    <row r="37" spans="1:16" ht="15" hidden="1" customHeight="1" outlineLevel="1" x14ac:dyDescent="0.25">
      <c r="B37" s="20" t="s">
        <v>11</v>
      </c>
      <c r="C37" s="21" t="s">
        <v>198</v>
      </c>
      <c r="E37" s="44">
        <v>6000</v>
      </c>
      <c r="F37" s="44">
        <f t="shared" si="13"/>
        <v>6000</v>
      </c>
      <c r="G37" s="44">
        <f t="shared" si="13"/>
        <v>6000</v>
      </c>
      <c r="H37" s="44">
        <f t="shared" si="13"/>
        <v>6000</v>
      </c>
      <c r="I37" s="44">
        <f t="shared" si="13"/>
        <v>6000</v>
      </c>
      <c r="J37" s="44">
        <f t="shared" si="13"/>
        <v>6000</v>
      </c>
      <c r="K37" s="44">
        <f t="shared" si="13"/>
        <v>6000</v>
      </c>
      <c r="L37" s="44">
        <f t="shared" si="13"/>
        <v>6000</v>
      </c>
      <c r="M37" s="44">
        <f t="shared" si="13"/>
        <v>6000</v>
      </c>
      <c r="O37" s="20" t="s">
        <v>0</v>
      </c>
      <c r="P37" s="20" t="s">
        <v>498</v>
      </c>
    </row>
    <row r="38" spans="1:16" ht="15" hidden="1" customHeight="1" outlineLevel="1" x14ac:dyDescent="0.25">
      <c r="B38" s="20" t="s">
        <v>42</v>
      </c>
      <c r="C38" s="21" t="s">
        <v>165</v>
      </c>
      <c r="E38" s="46">
        <v>1.4</v>
      </c>
      <c r="F38" s="46">
        <f t="shared" si="13"/>
        <v>1.4</v>
      </c>
      <c r="G38" s="46">
        <f t="shared" si="13"/>
        <v>1.4</v>
      </c>
      <c r="H38" s="46">
        <f t="shared" si="13"/>
        <v>1.4</v>
      </c>
      <c r="I38" s="46">
        <f t="shared" si="13"/>
        <v>1.4</v>
      </c>
      <c r="J38" s="46">
        <f t="shared" si="13"/>
        <v>1.4</v>
      </c>
      <c r="K38" s="46">
        <f t="shared" si="13"/>
        <v>1.4</v>
      </c>
      <c r="L38" s="46">
        <f t="shared" si="13"/>
        <v>1.4</v>
      </c>
      <c r="M38" s="46">
        <f t="shared" si="13"/>
        <v>1.4</v>
      </c>
      <c r="P38" s="20" t="s">
        <v>494</v>
      </c>
    </row>
    <row r="39" spans="1:16" ht="15" hidden="1" customHeight="1" outlineLevel="1" x14ac:dyDescent="0.25">
      <c r="B39" s="20" t="s">
        <v>169</v>
      </c>
      <c r="C39" s="21" t="s">
        <v>168</v>
      </c>
      <c r="E39" s="46">
        <v>1</v>
      </c>
      <c r="F39" s="46">
        <f t="shared" si="13"/>
        <v>1</v>
      </c>
      <c r="G39" s="46">
        <f t="shared" si="13"/>
        <v>1</v>
      </c>
      <c r="H39" s="46">
        <f t="shared" si="13"/>
        <v>1</v>
      </c>
      <c r="I39" s="46">
        <f t="shared" si="13"/>
        <v>1</v>
      </c>
      <c r="J39" s="46">
        <f t="shared" si="13"/>
        <v>1</v>
      </c>
      <c r="K39" s="46">
        <f t="shared" si="13"/>
        <v>1</v>
      </c>
      <c r="L39" s="46">
        <f t="shared" si="13"/>
        <v>1</v>
      </c>
      <c r="M39" s="46">
        <f t="shared" si="13"/>
        <v>1</v>
      </c>
      <c r="P39" s="20" t="s">
        <v>494</v>
      </c>
    </row>
    <row r="40" spans="1:16" ht="15" hidden="1" customHeight="1" outlineLevel="1" x14ac:dyDescent="0.25">
      <c r="C40" s="21"/>
    </row>
    <row r="41" spans="1:16" ht="15" hidden="1" customHeight="1" outlineLevel="1" x14ac:dyDescent="0.25">
      <c r="A41" s="39" t="s">
        <v>267</v>
      </c>
      <c r="C41" s="40"/>
    </row>
    <row r="42" spans="1:16" ht="15" hidden="1" customHeight="1" outlineLevel="1" x14ac:dyDescent="0.25">
      <c r="B42" s="20" t="s">
        <v>260</v>
      </c>
      <c r="C42" s="21" t="s">
        <v>263</v>
      </c>
      <c r="E42" s="71">
        <v>0</v>
      </c>
      <c r="F42" s="71">
        <v>0</v>
      </c>
      <c r="G42" s="71">
        <v>0</v>
      </c>
      <c r="H42" s="72">
        <v>35</v>
      </c>
      <c r="I42" s="71">
        <f>(I31-I34)/2</f>
        <v>117</v>
      </c>
      <c r="J42" s="72">
        <v>35</v>
      </c>
      <c r="K42" s="72">
        <v>35</v>
      </c>
      <c r="L42" s="71">
        <f>(L31-L34)/2</f>
        <v>117</v>
      </c>
      <c r="M42" s="71">
        <f>(M31-M34)/2</f>
        <v>117</v>
      </c>
      <c r="O42" s="20" t="s">
        <v>0</v>
      </c>
      <c r="P42" s="20" t="s">
        <v>499</v>
      </c>
    </row>
    <row r="43" spans="1:16" ht="15" hidden="1" customHeight="1" outlineLevel="1" x14ac:dyDescent="0.25">
      <c r="B43" s="20" t="s">
        <v>261</v>
      </c>
      <c r="C43" s="21" t="s">
        <v>264</v>
      </c>
      <c r="E43" s="71">
        <v>0</v>
      </c>
      <c r="F43" s="71">
        <v>0</v>
      </c>
      <c r="G43" s="71">
        <v>0</v>
      </c>
      <c r="H43" s="72">
        <v>35</v>
      </c>
      <c r="I43" s="72">
        <v>35</v>
      </c>
      <c r="J43" s="71">
        <f>(J33-J34)/2</f>
        <v>117</v>
      </c>
      <c r="K43" s="72">
        <v>35</v>
      </c>
      <c r="L43" s="71">
        <f>(L33-L34)/2</f>
        <v>117</v>
      </c>
      <c r="M43" s="71">
        <f>(M33-M34)/2</f>
        <v>117</v>
      </c>
      <c r="O43" s="20" t="s">
        <v>0</v>
      </c>
      <c r="P43" s="20" t="s">
        <v>499</v>
      </c>
    </row>
    <row r="44" spans="1:16" ht="15" hidden="1" customHeight="1" outlineLevel="1" x14ac:dyDescent="0.25">
      <c r="B44" s="20" t="s">
        <v>262</v>
      </c>
      <c r="C44" s="21" t="s">
        <v>265</v>
      </c>
      <c r="E44" s="71">
        <v>0</v>
      </c>
      <c r="F44" s="72">
        <v>35</v>
      </c>
      <c r="G44" s="72">
        <v>35</v>
      </c>
      <c r="H44" s="72">
        <v>35</v>
      </c>
      <c r="I44" s="72">
        <v>35</v>
      </c>
      <c r="J44" s="72">
        <v>35</v>
      </c>
      <c r="K44" s="71">
        <f>K35/2</f>
        <v>280</v>
      </c>
      <c r="L44" s="71">
        <f>L35/2</f>
        <v>280</v>
      </c>
      <c r="M44" s="71">
        <f>M35/2</f>
        <v>280</v>
      </c>
      <c r="O44" s="20" t="s">
        <v>0</v>
      </c>
      <c r="P44" s="20" t="s">
        <v>499</v>
      </c>
    </row>
    <row r="45" spans="1:16" ht="15" hidden="1" customHeight="1" outlineLevel="1" x14ac:dyDescent="0.25">
      <c r="B45" s="20" t="s">
        <v>309</v>
      </c>
      <c r="C45" s="21" t="s">
        <v>310</v>
      </c>
      <c r="E45" s="68" t="s">
        <v>1</v>
      </c>
      <c r="F45" s="68" t="s">
        <v>1</v>
      </c>
      <c r="G45" s="72">
        <v>100</v>
      </c>
      <c r="H45" s="68" t="s">
        <v>1</v>
      </c>
      <c r="I45" s="68" t="s">
        <v>1</v>
      </c>
      <c r="J45" s="68" t="s">
        <v>1</v>
      </c>
      <c r="K45" s="68" t="s">
        <v>1</v>
      </c>
      <c r="L45" s="68" t="s">
        <v>1</v>
      </c>
      <c r="M45" s="68" t="s">
        <v>1</v>
      </c>
      <c r="O45" s="20" t="s">
        <v>0</v>
      </c>
      <c r="P45" s="20" t="s">
        <v>499</v>
      </c>
    </row>
    <row r="46" spans="1:16" ht="15" hidden="1" customHeight="1" outlineLevel="1" x14ac:dyDescent="0.25">
      <c r="A46" s="38"/>
      <c r="B46" s="1" t="s">
        <v>202</v>
      </c>
      <c r="C46" s="1" t="s">
        <v>203</v>
      </c>
      <c r="D46" s="41"/>
      <c r="E46" s="47">
        <v>0.2</v>
      </c>
      <c r="F46" s="47">
        <v>0.2</v>
      </c>
      <c r="G46" s="47">
        <v>0.2</v>
      </c>
      <c r="H46" s="11">
        <v>0.4</v>
      </c>
      <c r="I46" s="11">
        <v>0.4</v>
      </c>
      <c r="J46" s="11">
        <v>0.4</v>
      </c>
      <c r="K46" s="11">
        <v>0.4</v>
      </c>
      <c r="L46" s="11">
        <v>0.4</v>
      </c>
      <c r="M46" s="11">
        <v>0.4</v>
      </c>
      <c r="N46" s="41"/>
      <c r="O46" s="43"/>
      <c r="P46" s="20" t="s">
        <v>500</v>
      </c>
    </row>
    <row r="47" spans="1:16" ht="15" hidden="1" customHeight="1" outlineLevel="1" x14ac:dyDescent="0.25">
      <c r="A47" s="38"/>
      <c r="B47" s="1" t="s">
        <v>204</v>
      </c>
      <c r="C47" s="1" t="s">
        <v>206</v>
      </c>
      <c r="D47" s="41"/>
      <c r="E47" s="47">
        <v>0.2</v>
      </c>
      <c r="F47" s="47">
        <v>0.2</v>
      </c>
      <c r="G47" s="47">
        <v>0.2</v>
      </c>
      <c r="H47" s="11">
        <v>0.4</v>
      </c>
      <c r="I47" s="11">
        <v>0.4</v>
      </c>
      <c r="J47" s="11">
        <v>0.4</v>
      </c>
      <c r="K47" s="11">
        <v>0.4</v>
      </c>
      <c r="L47" s="11">
        <v>0.4</v>
      </c>
      <c r="M47" s="11">
        <v>0.4</v>
      </c>
      <c r="N47" s="41"/>
      <c r="O47" s="43"/>
      <c r="P47" s="20" t="s">
        <v>500</v>
      </c>
    </row>
    <row r="48" spans="1:16" ht="15" hidden="1" customHeight="1" outlineLevel="1" x14ac:dyDescent="0.25">
      <c r="A48" s="38"/>
      <c r="B48" s="1" t="s">
        <v>205</v>
      </c>
      <c r="C48" s="1" t="s">
        <v>207</v>
      </c>
      <c r="D48" s="41"/>
      <c r="E48" s="47">
        <v>0.2</v>
      </c>
      <c r="F48" s="11">
        <v>0.4</v>
      </c>
      <c r="G48" s="11">
        <v>0.4</v>
      </c>
      <c r="H48" s="11">
        <v>0.4</v>
      </c>
      <c r="I48" s="11">
        <v>0.4</v>
      </c>
      <c r="J48" s="11">
        <v>0.4</v>
      </c>
      <c r="K48" s="11">
        <v>0.4</v>
      </c>
      <c r="L48" s="11">
        <v>0.4</v>
      </c>
      <c r="M48" s="11">
        <v>0.4</v>
      </c>
      <c r="N48" s="41"/>
      <c r="O48" s="43"/>
      <c r="P48" s="20" t="s">
        <v>500</v>
      </c>
    </row>
    <row r="49" spans="1:16" ht="15" hidden="1" customHeight="1" outlineLevel="1" x14ac:dyDescent="0.25">
      <c r="A49" s="38"/>
      <c r="B49" s="1" t="s">
        <v>208</v>
      </c>
      <c r="C49" s="1" t="s">
        <v>209</v>
      </c>
      <c r="D49" s="41"/>
      <c r="E49" s="11">
        <f t="shared" ref="E49:M49" si="14">IF(OR(E46=0.4,E47=0.4,E48=0.4),0.4,0.2)</f>
        <v>0.2</v>
      </c>
      <c r="F49" s="11">
        <f t="shared" si="14"/>
        <v>0.4</v>
      </c>
      <c r="G49" s="11">
        <f t="shared" si="14"/>
        <v>0.4</v>
      </c>
      <c r="H49" s="11">
        <f t="shared" si="14"/>
        <v>0.4</v>
      </c>
      <c r="I49" s="11">
        <f t="shared" si="14"/>
        <v>0.4</v>
      </c>
      <c r="J49" s="11">
        <f t="shared" si="14"/>
        <v>0.4</v>
      </c>
      <c r="K49" s="11">
        <f t="shared" si="14"/>
        <v>0.4</v>
      </c>
      <c r="L49" s="11">
        <f t="shared" si="14"/>
        <v>0.4</v>
      </c>
      <c r="M49" s="11">
        <f t="shared" si="14"/>
        <v>0.4</v>
      </c>
      <c r="N49" s="41"/>
      <c r="O49" s="43"/>
      <c r="P49" s="20" t="s">
        <v>500</v>
      </c>
    </row>
    <row r="50" spans="1:16" ht="15" hidden="1" customHeight="1" outlineLevel="1" x14ac:dyDescent="0.25">
      <c r="A50" s="38"/>
      <c r="B50" s="20" t="s">
        <v>31</v>
      </c>
      <c r="C50" s="1" t="s">
        <v>210</v>
      </c>
      <c r="D50" s="41"/>
      <c r="E50" s="4" t="s">
        <v>50</v>
      </c>
      <c r="F50" s="4" t="s">
        <v>34</v>
      </c>
      <c r="G50" s="4" t="s">
        <v>34</v>
      </c>
      <c r="H50" s="4" t="s">
        <v>34</v>
      </c>
      <c r="I50" s="4" t="s">
        <v>34</v>
      </c>
      <c r="J50" s="4" t="s">
        <v>34</v>
      </c>
      <c r="K50" s="4" t="s">
        <v>34</v>
      </c>
      <c r="L50" s="4" t="s">
        <v>34</v>
      </c>
      <c r="M50" s="4" t="s">
        <v>50</v>
      </c>
      <c r="N50" s="41"/>
      <c r="O50" s="43"/>
      <c r="P50" s="20" t="s">
        <v>501</v>
      </c>
    </row>
    <row r="51" spans="1:16" ht="15" hidden="1" customHeight="1" outlineLevel="1" x14ac:dyDescent="0.25">
      <c r="C51" s="21"/>
    </row>
    <row r="52" spans="1:16" ht="15" hidden="1" customHeight="1" outlineLevel="1" x14ac:dyDescent="0.25">
      <c r="A52" s="39" t="s">
        <v>444</v>
      </c>
      <c r="C52" s="40"/>
    </row>
    <row r="53" spans="1:16" ht="15" hidden="1" customHeight="1" outlineLevel="1" x14ac:dyDescent="0.25">
      <c r="B53" s="20" t="s">
        <v>433</v>
      </c>
      <c r="C53" s="21" t="s">
        <v>435</v>
      </c>
      <c r="E53" s="79">
        <v>5</v>
      </c>
      <c r="F53" s="79">
        <v>5</v>
      </c>
      <c r="G53" s="79">
        <v>5</v>
      </c>
      <c r="H53" s="79">
        <v>5</v>
      </c>
      <c r="I53" s="79">
        <v>5</v>
      </c>
      <c r="J53" s="79">
        <v>5</v>
      </c>
      <c r="K53" s="79">
        <v>5</v>
      </c>
      <c r="L53" s="79">
        <v>5</v>
      </c>
      <c r="M53" s="79">
        <v>5</v>
      </c>
      <c r="O53" s="20" t="s">
        <v>0</v>
      </c>
      <c r="P53" s="20" t="s">
        <v>502</v>
      </c>
    </row>
    <row r="54" spans="1:16" ht="15" hidden="1" customHeight="1" outlineLevel="1" x14ac:dyDescent="0.25">
      <c r="B54" s="20" t="s">
        <v>434</v>
      </c>
      <c r="C54" s="21" t="s">
        <v>436</v>
      </c>
      <c r="E54" s="65">
        <f t="shared" ref="E54:M54" si="15">E255-E30</f>
        <v>280</v>
      </c>
      <c r="F54" s="65">
        <f t="shared" si="15"/>
        <v>280</v>
      </c>
      <c r="G54" s="65">
        <f t="shared" si="15"/>
        <v>280</v>
      </c>
      <c r="H54" s="65">
        <f t="shared" si="15"/>
        <v>280</v>
      </c>
      <c r="I54" s="65">
        <f t="shared" si="15"/>
        <v>315.93557118543282</v>
      </c>
      <c r="J54" s="65">
        <f t="shared" si="15"/>
        <v>244.06442881456724</v>
      </c>
      <c r="K54" s="65">
        <f t="shared" si="15"/>
        <v>280</v>
      </c>
      <c r="L54" s="65">
        <f t="shared" si="15"/>
        <v>280</v>
      </c>
      <c r="M54" s="65">
        <f t="shared" si="15"/>
        <v>280</v>
      </c>
      <c r="O54" s="20" t="s">
        <v>0</v>
      </c>
      <c r="P54" s="20" t="s">
        <v>502</v>
      </c>
    </row>
    <row r="55" spans="1:16" ht="15" hidden="1" customHeight="1" outlineLevel="1" x14ac:dyDescent="0.25">
      <c r="B55" s="20" t="s">
        <v>442</v>
      </c>
      <c r="C55" s="21" t="s">
        <v>443</v>
      </c>
      <c r="E55" s="80">
        <f>E53/E54</f>
        <v>1.7857142857142856E-2</v>
      </c>
      <c r="F55" s="80">
        <f t="shared" ref="F55:M55" si="16">F53/F54</f>
        <v>1.7857142857142856E-2</v>
      </c>
      <c r="G55" s="80">
        <f t="shared" si="16"/>
        <v>1.7857142857142856E-2</v>
      </c>
      <c r="H55" s="80">
        <f t="shared" si="16"/>
        <v>1.7857142857142856E-2</v>
      </c>
      <c r="I55" s="80">
        <f t="shared" si="16"/>
        <v>1.582601155431573E-2</v>
      </c>
      <c r="J55" s="80">
        <f t="shared" si="16"/>
        <v>2.0486393794807552E-2</v>
      </c>
      <c r="K55" s="80">
        <f t="shared" si="16"/>
        <v>1.7857142857142856E-2</v>
      </c>
      <c r="L55" s="80">
        <f t="shared" si="16"/>
        <v>1.7857142857142856E-2</v>
      </c>
      <c r="M55" s="80">
        <f t="shared" si="16"/>
        <v>1.7857142857142856E-2</v>
      </c>
      <c r="O55" s="20" t="s">
        <v>0</v>
      </c>
      <c r="P55" s="20" t="s">
        <v>502</v>
      </c>
    </row>
    <row r="56" spans="1:16" ht="15" customHeight="1" collapsed="1" x14ac:dyDescent="0.25">
      <c r="C56" s="21"/>
    </row>
    <row r="57" spans="1:16" ht="15" customHeight="1" x14ac:dyDescent="0.25">
      <c r="C57" s="21"/>
    </row>
    <row r="58" spans="1:16" ht="15" customHeight="1" x14ac:dyDescent="0.3">
      <c r="A58" s="37" t="s">
        <v>458</v>
      </c>
      <c r="C58" s="21"/>
    </row>
    <row r="59" spans="1:16" ht="15" hidden="1" customHeight="1" outlineLevel="1" x14ac:dyDescent="0.25">
      <c r="C59" s="21"/>
    </row>
    <row r="60" spans="1:16" ht="15" hidden="1" customHeight="1" outlineLevel="1" x14ac:dyDescent="0.25">
      <c r="A60" s="39" t="s">
        <v>83</v>
      </c>
      <c r="C60" s="40"/>
    </row>
    <row r="61" spans="1:16" ht="15" hidden="1" customHeight="1" outlineLevel="1" x14ac:dyDescent="0.25">
      <c r="B61" s="20" t="s">
        <v>67</v>
      </c>
      <c r="C61" s="21" t="s">
        <v>87</v>
      </c>
      <c r="E61" s="7">
        <f t="shared" ref="E61:M61" si="17">E30*E31</f>
        <v>5000</v>
      </c>
      <c r="F61" s="7">
        <f t="shared" si="17"/>
        <v>5000</v>
      </c>
      <c r="G61" s="7">
        <f t="shared" si="17"/>
        <v>5000</v>
      </c>
      <c r="H61" s="7">
        <f t="shared" si="17"/>
        <v>5000</v>
      </c>
      <c r="I61" s="7">
        <f t="shared" si="17"/>
        <v>5000</v>
      </c>
      <c r="J61" s="7">
        <f t="shared" si="17"/>
        <v>5000</v>
      </c>
      <c r="K61" s="7">
        <f t="shared" si="17"/>
        <v>5000</v>
      </c>
      <c r="L61" s="7">
        <f t="shared" si="17"/>
        <v>5000</v>
      </c>
      <c r="M61" s="7">
        <f t="shared" si="17"/>
        <v>5000</v>
      </c>
      <c r="O61" s="20" t="s">
        <v>233</v>
      </c>
    </row>
    <row r="62" spans="1:16" ht="15" hidden="1" customHeight="1" outlineLevel="1" x14ac:dyDescent="0.25">
      <c r="B62" s="20" t="s">
        <v>28</v>
      </c>
      <c r="C62" s="21" t="s">
        <v>88</v>
      </c>
      <c r="E62" s="7">
        <f t="shared" ref="E62:M62" si="18">E32+E35+E30/2</f>
        <v>590</v>
      </c>
      <c r="F62" s="7">
        <f t="shared" si="18"/>
        <v>590</v>
      </c>
      <c r="G62" s="7">
        <f t="shared" si="18"/>
        <v>590</v>
      </c>
      <c r="H62" s="7">
        <f t="shared" si="18"/>
        <v>590</v>
      </c>
      <c r="I62" s="7">
        <f t="shared" si="18"/>
        <v>590</v>
      </c>
      <c r="J62" s="7">
        <f t="shared" si="18"/>
        <v>590</v>
      </c>
      <c r="K62" s="7">
        <f t="shared" si="18"/>
        <v>590</v>
      </c>
      <c r="L62" s="7">
        <f t="shared" si="18"/>
        <v>590</v>
      </c>
      <c r="M62" s="7">
        <f t="shared" si="18"/>
        <v>590</v>
      </c>
      <c r="O62" s="20" t="s">
        <v>0</v>
      </c>
    </row>
    <row r="63" spans="1:16" ht="15" hidden="1" customHeight="1" outlineLevel="1" x14ac:dyDescent="0.25">
      <c r="B63" s="20" t="s">
        <v>68</v>
      </c>
      <c r="C63" s="21" t="s">
        <v>89</v>
      </c>
      <c r="E63" s="48">
        <f t="shared" ref="E63:M63" si="19">E31/12*E30^3+E61*(E74-E62)^2</f>
        <v>420666666.66666669</v>
      </c>
      <c r="F63" s="48">
        <f t="shared" si="19"/>
        <v>420666666.66666669</v>
      </c>
      <c r="G63" s="48">
        <f t="shared" si="19"/>
        <v>420666666.66666669</v>
      </c>
      <c r="H63" s="48">
        <f t="shared" si="19"/>
        <v>420666666.66666669</v>
      </c>
      <c r="I63" s="48">
        <f t="shared" si="19"/>
        <v>420666666.66666669</v>
      </c>
      <c r="J63" s="48">
        <f t="shared" si="19"/>
        <v>420666666.66666669</v>
      </c>
      <c r="K63" s="48">
        <f t="shared" si="19"/>
        <v>420666666.66666669</v>
      </c>
      <c r="L63" s="48">
        <f t="shared" si="19"/>
        <v>420666666.66666669</v>
      </c>
      <c r="M63" s="48">
        <f t="shared" si="19"/>
        <v>420666666.66666669</v>
      </c>
      <c r="O63" s="20" t="s">
        <v>373</v>
      </c>
    </row>
    <row r="64" spans="1:16" ht="15" hidden="1" customHeight="1" outlineLevel="1" x14ac:dyDescent="0.25">
      <c r="B64" s="20" t="s">
        <v>65</v>
      </c>
      <c r="C64" s="21" t="s">
        <v>84</v>
      </c>
      <c r="E64" s="7">
        <f t="shared" ref="E64:M64" si="20">E32*E33</f>
        <v>5000</v>
      </c>
      <c r="F64" s="7">
        <f t="shared" si="20"/>
        <v>5000</v>
      </c>
      <c r="G64" s="7">
        <f t="shared" si="20"/>
        <v>5000</v>
      </c>
      <c r="H64" s="7">
        <f t="shared" si="20"/>
        <v>5000</v>
      </c>
      <c r="I64" s="7">
        <f t="shared" si="20"/>
        <v>5000</v>
      </c>
      <c r="J64" s="7">
        <f t="shared" si="20"/>
        <v>5000</v>
      </c>
      <c r="K64" s="7">
        <f t="shared" si="20"/>
        <v>5000</v>
      </c>
      <c r="L64" s="7">
        <f t="shared" si="20"/>
        <v>5000</v>
      </c>
      <c r="M64" s="7">
        <f t="shared" si="20"/>
        <v>5000</v>
      </c>
      <c r="O64" s="20" t="s">
        <v>233</v>
      </c>
    </row>
    <row r="65" spans="1:15" ht="15" hidden="1" customHeight="1" outlineLevel="1" x14ac:dyDescent="0.25">
      <c r="B65" s="20" t="s">
        <v>28</v>
      </c>
      <c r="C65" s="21" t="s">
        <v>85</v>
      </c>
      <c r="E65" s="7">
        <f t="shared" ref="E65:M65" si="21">E32/2</f>
        <v>10</v>
      </c>
      <c r="F65" s="7">
        <f t="shared" si="21"/>
        <v>10</v>
      </c>
      <c r="G65" s="7">
        <f t="shared" si="21"/>
        <v>10</v>
      </c>
      <c r="H65" s="7">
        <f t="shared" si="21"/>
        <v>10</v>
      </c>
      <c r="I65" s="7">
        <f t="shared" si="21"/>
        <v>10</v>
      </c>
      <c r="J65" s="7">
        <f t="shared" si="21"/>
        <v>10</v>
      </c>
      <c r="K65" s="7">
        <f t="shared" si="21"/>
        <v>10</v>
      </c>
      <c r="L65" s="7">
        <f t="shared" si="21"/>
        <v>10</v>
      </c>
      <c r="M65" s="7">
        <f t="shared" si="21"/>
        <v>10</v>
      </c>
      <c r="O65" s="20" t="s">
        <v>0</v>
      </c>
    </row>
    <row r="66" spans="1:15" ht="15" hidden="1" customHeight="1" outlineLevel="1" x14ac:dyDescent="0.25">
      <c r="B66" s="20" t="s">
        <v>66</v>
      </c>
      <c r="C66" s="21" t="s">
        <v>86</v>
      </c>
      <c r="E66" s="48">
        <f t="shared" ref="E66:M66" si="22">E33/12*E32^3+E64*(E74-E65)^2</f>
        <v>420666666.66666669</v>
      </c>
      <c r="F66" s="48">
        <f t="shared" si="22"/>
        <v>420666666.66666669</v>
      </c>
      <c r="G66" s="48">
        <f t="shared" si="22"/>
        <v>420666666.66666669</v>
      </c>
      <c r="H66" s="48">
        <f t="shared" si="22"/>
        <v>420666666.66666669</v>
      </c>
      <c r="I66" s="48">
        <f t="shared" si="22"/>
        <v>420666666.66666669</v>
      </c>
      <c r="J66" s="48">
        <f t="shared" si="22"/>
        <v>420666666.66666669</v>
      </c>
      <c r="K66" s="48">
        <f t="shared" si="22"/>
        <v>420666666.66666669</v>
      </c>
      <c r="L66" s="48">
        <f t="shared" si="22"/>
        <v>420666666.66666669</v>
      </c>
      <c r="M66" s="48">
        <f t="shared" si="22"/>
        <v>420666666.66666669</v>
      </c>
      <c r="O66" s="20" t="s">
        <v>373</v>
      </c>
    </row>
    <row r="67" spans="1:15" ht="15" hidden="1" customHeight="1" outlineLevel="1" x14ac:dyDescent="0.25">
      <c r="B67" s="20" t="s">
        <v>41</v>
      </c>
      <c r="C67" s="21" t="s">
        <v>90</v>
      </c>
      <c r="E67" s="7">
        <f t="shared" ref="E67:M67" si="23">E35*E34</f>
        <v>8960</v>
      </c>
      <c r="F67" s="7">
        <f t="shared" si="23"/>
        <v>8960</v>
      </c>
      <c r="G67" s="7">
        <f t="shared" si="23"/>
        <v>8960</v>
      </c>
      <c r="H67" s="7">
        <f t="shared" si="23"/>
        <v>8960</v>
      </c>
      <c r="I67" s="7">
        <f t="shared" si="23"/>
        <v>8960</v>
      </c>
      <c r="J67" s="7">
        <f t="shared" si="23"/>
        <v>8960</v>
      </c>
      <c r="K67" s="7">
        <f t="shared" si="23"/>
        <v>8960</v>
      </c>
      <c r="L67" s="7">
        <f t="shared" si="23"/>
        <v>8960</v>
      </c>
      <c r="M67" s="7">
        <f t="shared" si="23"/>
        <v>8960</v>
      </c>
      <c r="O67" s="20" t="s">
        <v>233</v>
      </c>
    </row>
    <row r="68" spans="1:15" ht="15" hidden="1" customHeight="1" outlineLevel="1" x14ac:dyDescent="0.25">
      <c r="B68" s="20" t="s">
        <v>28</v>
      </c>
      <c r="C68" s="21" t="s">
        <v>91</v>
      </c>
      <c r="E68" s="7">
        <f t="shared" ref="E68:M68" si="24">E32+E35/2</f>
        <v>300</v>
      </c>
      <c r="F68" s="7">
        <f t="shared" si="24"/>
        <v>300</v>
      </c>
      <c r="G68" s="7">
        <f t="shared" si="24"/>
        <v>300</v>
      </c>
      <c r="H68" s="7">
        <f t="shared" si="24"/>
        <v>300</v>
      </c>
      <c r="I68" s="7">
        <f t="shared" si="24"/>
        <v>300</v>
      </c>
      <c r="J68" s="7">
        <f t="shared" si="24"/>
        <v>300</v>
      </c>
      <c r="K68" s="7">
        <f t="shared" si="24"/>
        <v>300</v>
      </c>
      <c r="L68" s="7">
        <f t="shared" si="24"/>
        <v>300</v>
      </c>
      <c r="M68" s="7">
        <f t="shared" si="24"/>
        <v>300</v>
      </c>
      <c r="O68" s="20" t="s">
        <v>0</v>
      </c>
    </row>
    <row r="69" spans="1:15" ht="15" hidden="1" customHeight="1" outlineLevel="1" x14ac:dyDescent="0.25">
      <c r="B69" s="20" t="s">
        <v>69</v>
      </c>
      <c r="C69" s="21" t="s">
        <v>92</v>
      </c>
      <c r="E69" s="48">
        <f t="shared" ref="E69:M69" si="25">E34/12*E35^3+E67*(E74-E68)^2</f>
        <v>234154666.66666666</v>
      </c>
      <c r="F69" s="48">
        <f t="shared" si="25"/>
        <v>234154666.66666666</v>
      </c>
      <c r="G69" s="48">
        <f t="shared" si="25"/>
        <v>234154666.66666666</v>
      </c>
      <c r="H69" s="48">
        <f t="shared" si="25"/>
        <v>234154666.66666666</v>
      </c>
      <c r="I69" s="48">
        <f t="shared" si="25"/>
        <v>234154666.66666666</v>
      </c>
      <c r="J69" s="48">
        <f t="shared" si="25"/>
        <v>234154666.66666666</v>
      </c>
      <c r="K69" s="48">
        <f t="shared" si="25"/>
        <v>234154666.66666666</v>
      </c>
      <c r="L69" s="48">
        <f t="shared" si="25"/>
        <v>234154666.66666666</v>
      </c>
      <c r="M69" s="48">
        <f t="shared" si="25"/>
        <v>234154666.66666666</v>
      </c>
      <c r="O69" s="20" t="s">
        <v>373</v>
      </c>
    </row>
    <row r="70" spans="1:15" ht="15" hidden="1" customHeight="1" outlineLevel="1" x14ac:dyDescent="0.25">
      <c r="C70" s="21"/>
    </row>
    <row r="71" spans="1:15" ht="15" hidden="1" customHeight="1" outlineLevel="1" x14ac:dyDescent="0.25">
      <c r="A71" s="39" t="s">
        <v>27</v>
      </c>
      <c r="C71" s="40"/>
    </row>
    <row r="72" spans="1:15" ht="15" hidden="1" customHeight="1" outlineLevel="1" x14ac:dyDescent="0.25">
      <c r="B72" s="20" t="s">
        <v>71</v>
      </c>
      <c r="C72" s="21" t="s">
        <v>70</v>
      </c>
      <c r="E72" s="7">
        <f t="shared" ref="E72:M72" si="26">E64+E61+E67</f>
        <v>18960</v>
      </c>
      <c r="F72" s="7">
        <f t="shared" si="26"/>
        <v>18960</v>
      </c>
      <c r="G72" s="7">
        <f t="shared" si="26"/>
        <v>18960</v>
      </c>
      <c r="H72" s="7">
        <f t="shared" si="26"/>
        <v>18960</v>
      </c>
      <c r="I72" s="7">
        <f t="shared" si="26"/>
        <v>18960</v>
      </c>
      <c r="J72" s="7">
        <f t="shared" si="26"/>
        <v>18960</v>
      </c>
      <c r="K72" s="7">
        <f t="shared" si="26"/>
        <v>18960</v>
      </c>
      <c r="L72" s="7">
        <f t="shared" si="26"/>
        <v>18960</v>
      </c>
      <c r="M72" s="7">
        <f t="shared" si="26"/>
        <v>18960</v>
      </c>
      <c r="O72" s="20" t="s">
        <v>233</v>
      </c>
    </row>
    <row r="73" spans="1:15" ht="15" hidden="1" customHeight="1" outlineLevel="1" x14ac:dyDescent="0.25">
      <c r="B73" s="20" t="s">
        <v>73</v>
      </c>
      <c r="C73" s="21" t="s">
        <v>72</v>
      </c>
      <c r="E73" s="48">
        <f t="shared" ref="E73:M73" si="27">E64*E65+E61*E62+E67*E68</f>
        <v>5688000</v>
      </c>
      <c r="F73" s="48">
        <f t="shared" si="27"/>
        <v>5688000</v>
      </c>
      <c r="G73" s="48">
        <f t="shared" si="27"/>
        <v>5688000</v>
      </c>
      <c r="H73" s="48">
        <f t="shared" si="27"/>
        <v>5688000</v>
      </c>
      <c r="I73" s="48">
        <f t="shared" si="27"/>
        <v>5688000</v>
      </c>
      <c r="J73" s="48">
        <f t="shared" si="27"/>
        <v>5688000</v>
      </c>
      <c r="K73" s="48">
        <f t="shared" si="27"/>
        <v>5688000</v>
      </c>
      <c r="L73" s="48">
        <f t="shared" si="27"/>
        <v>5688000</v>
      </c>
      <c r="M73" s="48">
        <f t="shared" si="27"/>
        <v>5688000</v>
      </c>
      <c r="O73" s="20" t="s">
        <v>234</v>
      </c>
    </row>
    <row r="74" spans="1:15" ht="15" hidden="1" customHeight="1" outlineLevel="1" x14ac:dyDescent="0.25">
      <c r="B74" s="20" t="s">
        <v>62</v>
      </c>
      <c r="C74" s="21" t="s">
        <v>111</v>
      </c>
      <c r="E74" s="7">
        <f t="shared" ref="E74:M74" si="28">E73/E72</f>
        <v>300</v>
      </c>
      <c r="F74" s="7">
        <f t="shared" si="28"/>
        <v>300</v>
      </c>
      <c r="G74" s="7">
        <f t="shared" si="28"/>
        <v>300</v>
      </c>
      <c r="H74" s="7">
        <f t="shared" si="28"/>
        <v>300</v>
      </c>
      <c r="I74" s="7">
        <f t="shared" si="28"/>
        <v>300</v>
      </c>
      <c r="J74" s="7">
        <f t="shared" si="28"/>
        <v>300</v>
      </c>
      <c r="K74" s="7">
        <f t="shared" si="28"/>
        <v>300</v>
      </c>
      <c r="L74" s="7">
        <f t="shared" si="28"/>
        <v>300</v>
      </c>
      <c r="M74" s="7">
        <f t="shared" si="28"/>
        <v>300</v>
      </c>
      <c r="O74" s="20" t="s">
        <v>0</v>
      </c>
    </row>
    <row r="75" spans="1:15" ht="15" hidden="1" customHeight="1" outlineLevel="1" x14ac:dyDescent="0.25">
      <c r="B75" s="20" t="s">
        <v>75</v>
      </c>
      <c r="C75" s="21" t="s">
        <v>25</v>
      </c>
      <c r="E75" s="7">
        <f t="shared" ref="E75:M75" si="29">E29-E74</f>
        <v>300</v>
      </c>
      <c r="F75" s="7">
        <f t="shared" si="29"/>
        <v>300</v>
      </c>
      <c r="G75" s="7">
        <f t="shared" si="29"/>
        <v>300</v>
      </c>
      <c r="H75" s="7">
        <f t="shared" si="29"/>
        <v>300</v>
      </c>
      <c r="I75" s="7">
        <f t="shared" si="29"/>
        <v>300</v>
      </c>
      <c r="J75" s="7">
        <f t="shared" si="29"/>
        <v>300</v>
      </c>
      <c r="K75" s="7">
        <f t="shared" si="29"/>
        <v>300</v>
      </c>
      <c r="L75" s="7">
        <f t="shared" si="29"/>
        <v>300</v>
      </c>
      <c r="M75" s="7">
        <f t="shared" si="29"/>
        <v>300</v>
      </c>
      <c r="O75" s="20" t="s">
        <v>0</v>
      </c>
    </row>
    <row r="76" spans="1:15" ht="15" hidden="1" customHeight="1" outlineLevel="1" x14ac:dyDescent="0.25">
      <c r="B76" s="20" t="s">
        <v>74</v>
      </c>
      <c r="C76" s="21" t="s">
        <v>26</v>
      </c>
      <c r="E76" s="7">
        <f t="shared" ref="E76:J76" si="30">E74</f>
        <v>300</v>
      </c>
      <c r="F76" s="7">
        <f t="shared" si="30"/>
        <v>300</v>
      </c>
      <c r="G76" s="7">
        <f t="shared" si="30"/>
        <v>300</v>
      </c>
      <c r="H76" s="7">
        <f t="shared" si="30"/>
        <v>300</v>
      </c>
      <c r="I76" s="7">
        <f t="shared" si="30"/>
        <v>300</v>
      </c>
      <c r="J76" s="7">
        <f t="shared" si="30"/>
        <v>300</v>
      </c>
      <c r="K76" s="7">
        <f>K74</f>
        <v>300</v>
      </c>
      <c r="L76" s="7">
        <f>L74</f>
        <v>300</v>
      </c>
      <c r="M76" s="7">
        <f>M74</f>
        <v>300</v>
      </c>
      <c r="O76" s="20" t="s">
        <v>0</v>
      </c>
    </row>
    <row r="77" spans="1:15" ht="15" hidden="1" customHeight="1" outlineLevel="1" x14ac:dyDescent="0.25">
      <c r="B77" s="20" t="s">
        <v>32</v>
      </c>
      <c r="C77" s="21" t="s">
        <v>76</v>
      </c>
      <c r="E77" s="48">
        <f t="shared" ref="E77:M77" si="31">E66+E63+E69</f>
        <v>1075488000</v>
      </c>
      <c r="F77" s="48">
        <f t="shared" si="31"/>
        <v>1075488000</v>
      </c>
      <c r="G77" s="48">
        <f t="shared" si="31"/>
        <v>1075488000</v>
      </c>
      <c r="H77" s="48">
        <f t="shared" si="31"/>
        <v>1075488000</v>
      </c>
      <c r="I77" s="48">
        <f t="shared" si="31"/>
        <v>1075488000</v>
      </c>
      <c r="J77" s="48">
        <f t="shared" si="31"/>
        <v>1075488000</v>
      </c>
      <c r="K77" s="48">
        <f t="shared" si="31"/>
        <v>1075488000</v>
      </c>
      <c r="L77" s="48">
        <f t="shared" si="31"/>
        <v>1075488000</v>
      </c>
      <c r="M77" s="48">
        <f t="shared" si="31"/>
        <v>1075488000</v>
      </c>
      <c r="O77" s="20" t="s">
        <v>373</v>
      </c>
    </row>
    <row r="78" spans="1:15" ht="15" hidden="1" customHeight="1" outlineLevel="1" x14ac:dyDescent="0.25">
      <c r="B78" s="20" t="s">
        <v>77</v>
      </c>
      <c r="C78" s="21" t="s">
        <v>12</v>
      </c>
      <c r="E78" s="48">
        <f t="shared" ref="E78:M78" si="32">E77/E76</f>
        <v>3584960</v>
      </c>
      <c r="F78" s="48">
        <f t="shared" si="32"/>
        <v>3584960</v>
      </c>
      <c r="G78" s="48">
        <f t="shared" si="32"/>
        <v>3584960</v>
      </c>
      <c r="H78" s="48">
        <f t="shared" si="32"/>
        <v>3584960</v>
      </c>
      <c r="I78" s="48">
        <f t="shared" si="32"/>
        <v>3584960</v>
      </c>
      <c r="J78" s="48">
        <f t="shared" si="32"/>
        <v>3584960</v>
      </c>
      <c r="K78" s="48">
        <f t="shared" si="32"/>
        <v>3584960</v>
      </c>
      <c r="L78" s="48">
        <f t="shared" si="32"/>
        <v>3584960</v>
      </c>
      <c r="M78" s="48">
        <f t="shared" si="32"/>
        <v>3584960</v>
      </c>
      <c r="O78" s="20" t="s">
        <v>234</v>
      </c>
    </row>
    <row r="79" spans="1:15" ht="15" hidden="1" customHeight="1" outlineLevel="1" x14ac:dyDescent="0.25">
      <c r="B79" s="20" t="s">
        <v>78</v>
      </c>
      <c r="C79" s="21" t="s">
        <v>10</v>
      </c>
      <c r="E79" s="48">
        <f t="shared" ref="E79:M79" si="33">E77/E75</f>
        <v>3584960</v>
      </c>
      <c r="F79" s="48">
        <f t="shared" si="33"/>
        <v>3584960</v>
      </c>
      <c r="G79" s="48">
        <f t="shared" si="33"/>
        <v>3584960</v>
      </c>
      <c r="H79" s="48">
        <f t="shared" si="33"/>
        <v>3584960</v>
      </c>
      <c r="I79" s="48">
        <f t="shared" si="33"/>
        <v>3584960</v>
      </c>
      <c r="J79" s="48">
        <f t="shared" si="33"/>
        <v>3584960</v>
      </c>
      <c r="K79" s="48">
        <f t="shared" si="33"/>
        <v>3584960</v>
      </c>
      <c r="L79" s="48">
        <f t="shared" si="33"/>
        <v>3584960</v>
      </c>
      <c r="M79" s="48">
        <f t="shared" si="33"/>
        <v>3584960</v>
      </c>
      <c r="O79" s="20" t="s">
        <v>234</v>
      </c>
    </row>
    <row r="80" spans="1:15" ht="15" hidden="1" customHeight="1" outlineLevel="1" x14ac:dyDescent="0.25">
      <c r="B80" s="20" t="s">
        <v>33</v>
      </c>
      <c r="C80" s="21" t="s">
        <v>24</v>
      </c>
      <c r="E80" s="48">
        <f t="shared" ref="E80:M80" si="34">1/12*(E32*E33^3+E30*E31^3+E35*E34^3)</f>
        <v>52274480</v>
      </c>
      <c r="F80" s="48">
        <f t="shared" si="34"/>
        <v>52274480</v>
      </c>
      <c r="G80" s="48">
        <f t="shared" si="34"/>
        <v>52274480</v>
      </c>
      <c r="H80" s="48">
        <f t="shared" si="34"/>
        <v>52274480</v>
      </c>
      <c r="I80" s="48">
        <f t="shared" si="34"/>
        <v>52274480</v>
      </c>
      <c r="J80" s="48">
        <f t="shared" si="34"/>
        <v>52274480</v>
      </c>
      <c r="K80" s="48">
        <f t="shared" si="34"/>
        <v>52274480</v>
      </c>
      <c r="L80" s="48">
        <f t="shared" si="34"/>
        <v>52274480</v>
      </c>
      <c r="M80" s="48">
        <f t="shared" si="34"/>
        <v>52274480</v>
      </c>
      <c r="O80" s="20" t="s">
        <v>373</v>
      </c>
    </row>
    <row r="81" spans="1:16" ht="15" hidden="1" customHeight="1" outlineLevel="1" x14ac:dyDescent="0.25">
      <c r="B81" s="20" t="s">
        <v>170</v>
      </c>
      <c r="C81" s="21" t="s">
        <v>171</v>
      </c>
      <c r="E81" s="7">
        <f t="shared" ref="E81:M81" si="35">SQRT(E80/E72)</f>
        <v>52.508026310310115</v>
      </c>
      <c r="F81" s="7">
        <f t="shared" si="35"/>
        <v>52.508026310310115</v>
      </c>
      <c r="G81" s="7">
        <f t="shared" si="35"/>
        <v>52.508026310310115</v>
      </c>
      <c r="H81" s="7">
        <f t="shared" si="35"/>
        <v>52.508026310310115</v>
      </c>
      <c r="I81" s="7">
        <f t="shared" si="35"/>
        <v>52.508026310310115</v>
      </c>
      <c r="J81" s="7">
        <f t="shared" si="35"/>
        <v>52.508026310310115</v>
      </c>
      <c r="K81" s="7">
        <f t="shared" si="35"/>
        <v>52.508026310310115</v>
      </c>
      <c r="L81" s="7">
        <f t="shared" si="35"/>
        <v>52.508026310310115</v>
      </c>
      <c r="M81" s="7">
        <f t="shared" si="35"/>
        <v>52.508026310310115</v>
      </c>
      <c r="O81" s="20" t="s">
        <v>0</v>
      </c>
    </row>
    <row r="82" spans="1:16" ht="15" hidden="1" customHeight="1" outlineLevel="1" x14ac:dyDescent="0.25">
      <c r="B82" s="20" t="s">
        <v>64</v>
      </c>
      <c r="C82" s="21" t="s">
        <v>79</v>
      </c>
      <c r="E82" s="7">
        <f t="shared" ref="E82:M82" si="36">(E61-E64)/2/E34+E35/2+E32</f>
        <v>300</v>
      </c>
      <c r="F82" s="7">
        <f t="shared" si="36"/>
        <v>300</v>
      </c>
      <c r="G82" s="7">
        <f t="shared" si="36"/>
        <v>300</v>
      </c>
      <c r="H82" s="7">
        <f t="shared" si="36"/>
        <v>300</v>
      </c>
      <c r="I82" s="7">
        <f t="shared" si="36"/>
        <v>300</v>
      </c>
      <c r="J82" s="7">
        <f t="shared" si="36"/>
        <v>300</v>
      </c>
      <c r="K82" s="7">
        <f t="shared" si="36"/>
        <v>300</v>
      </c>
      <c r="L82" s="7">
        <f t="shared" si="36"/>
        <v>300</v>
      </c>
      <c r="M82" s="7">
        <f t="shared" si="36"/>
        <v>300</v>
      </c>
      <c r="O82" s="20" t="s">
        <v>0</v>
      </c>
      <c r="P82" s="20" t="s">
        <v>159</v>
      </c>
    </row>
    <row r="83" spans="1:16" ht="15" hidden="1" customHeight="1" outlineLevel="1" x14ac:dyDescent="0.25">
      <c r="B83" s="20" t="s">
        <v>63</v>
      </c>
      <c r="C83" s="21" t="s">
        <v>80</v>
      </c>
      <c r="E83" s="48">
        <f t="shared" ref="E83:M83" si="37">E64*(E82-E65)+E61*(E62-E82)+E34*(E35+E32-E82)^2/2+E34*(E82-E32)^2/2</f>
        <v>4154400</v>
      </c>
      <c r="F83" s="48">
        <f t="shared" si="37"/>
        <v>4154400</v>
      </c>
      <c r="G83" s="48">
        <f t="shared" si="37"/>
        <v>4154400</v>
      </c>
      <c r="H83" s="48">
        <f t="shared" si="37"/>
        <v>4154400</v>
      </c>
      <c r="I83" s="48">
        <f t="shared" si="37"/>
        <v>4154400</v>
      </c>
      <c r="J83" s="48">
        <f t="shared" si="37"/>
        <v>4154400</v>
      </c>
      <c r="K83" s="48">
        <f t="shared" si="37"/>
        <v>4154400</v>
      </c>
      <c r="L83" s="48">
        <f t="shared" si="37"/>
        <v>4154400</v>
      </c>
      <c r="M83" s="48">
        <f t="shared" si="37"/>
        <v>4154400</v>
      </c>
      <c r="O83" s="20" t="s">
        <v>234</v>
      </c>
      <c r="P83" s="20" t="s">
        <v>159</v>
      </c>
    </row>
    <row r="84" spans="1:16" ht="15" hidden="1" customHeight="1" outlineLevel="1" x14ac:dyDescent="0.25">
      <c r="B84" s="20" t="s">
        <v>151</v>
      </c>
      <c r="C84" s="21" t="s">
        <v>235</v>
      </c>
      <c r="E84" s="48">
        <f t="shared" ref="E84:M84" si="38">(E31*E30^3+E33*E32^3+E35*E34^3)/3</f>
        <v>2097920</v>
      </c>
      <c r="F84" s="48">
        <f t="shared" si="38"/>
        <v>2097920</v>
      </c>
      <c r="G84" s="48">
        <f t="shared" si="38"/>
        <v>2097920</v>
      </c>
      <c r="H84" s="48">
        <f t="shared" si="38"/>
        <v>2097920</v>
      </c>
      <c r="I84" s="48">
        <f t="shared" si="38"/>
        <v>2097920</v>
      </c>
      <c r="J84" s="48">
        <f t="shared" si="38"/>
        <v>2097920</v>
      </c>
      <c r="K84" s="48">
        <f t="shared" si="38"/>
        <v>2097920</v>
      </c>
      <c r="L84" s="48">
        <f t="shared" si="38"/>
        <v>2097920</v>
      </c>
      <c r="M84" s="48">
        <f t="shared" si="38"/>
        <v>2097920</v>
      </c>
      <c r="O84" s="20" t="s">
        <v>373</v>
      </c>
      <c r="P84" s="20" t="s">
        <v>158</v>
      </c>
    </row>
    <row r="85" spans="1:16" ht="15" hidden="1" customHeight="1" outlineLevel="1" x14ac:dyDescent="0.25">
      <c r="B85" s="20" t="s">
        <v>152</v>
      </c>
      <c r="C85" s="21" t="s">
        <v>236</v>
      </c>
      <c r="E85" s="48">
        <f t="shared" ref="E85:J85" si="39">E31^3*E30/12</f>
        <v>26041666.666666668</v>
      </c>
      <c r="F85" s="48">
        <f t="shared" si="39"/>
        <v>26041666.666666668</v>
      </c>
      <c r="G85" s="48">
        <f t="shared" si="39"/>
        <v>26041666.666666668</v>
      </c>
      <c r="H85" s="48">
        <f t="shared" si="39"/>
        <v>26041666.666666668</v>
      </c>
      <c r="I85" s="48">
        <f t="shared" si="39"/>
        <v>26041666.666666668</v>
      </c>
      <c r="J85" s="48">
        <f t="shared" si="39"/>
        <v>26041666.666666668</v>
      </c>
      <c r="K85" s="48">
        <f>K31^3*K30/12</f>
        <v>26041666.666666668</v>
      </c>
      <c r="L85" s="48">
        <f>L31^3*L30/12</f>
        <v>26041666.666666668</v>
      </c>
      <c r="M85" s="48">
        <f>M31^3*M30/12</f>
        <v>26041666.666666668</v>
      </c>
      <c r="O85" s="20" t="s">
        <v>373</v>
      </c>
      <c r="P85" s="20" t="s">
        <v>160</v>
      </c>
    </row>
    <row r="86" spans="1:16" ht="15" hidden="1" customHeight="1" outlineLevel="1" x14ac:dyDescent="0.25">
      <c r="B86" s="20" t="s">
        <v>153</v>
      </c>
      <c r="C86" s="21" t="s">
        <v>237</v>
      </c>
      <c r="E86" s="48">
        <f t="shared" ref="E86:J86" si="40">E33^3*E32/12</f>
        <v>26041666.666666668</v>
      </c>
      <c r="F86" s="48">
        <f t="shared" si="40"/>
        <v>26041666.666666668</v>
      </c>
      <c r="G86" s="48">
        <f t="shared" si="40"/>
        <v>26041666.666666668</v>
      </c>
      <c r="H86" s="48">
        <f t="shared" si="40"/>
        <v>26041666.666666668</v>
      </c>
      <c r="I86" s="48">
        <f t="shared" si="40"/>
        <v>26041666.666666668</v>
      </c>
      <c r="J86" s="48">
        <f t="shared" si="40"/>
        <v>26041666.666666668</v>
      </c>
      <c r="K86" s="48">
        <f>K33^3*K32/12</f>
        <v>26041666.666666668</v>
      </c>
      <c r="L86" s="48">
        <f>L33^3*L32/12</f>
        <v>26041666.666666668</v>
      </c>
      <c r="M86" s="48">
        <f>M33^3*M32/12</f>
        <v>26041666.666666668</v>
      </c>
      <c r="O86" s="20" t="s">
        <v>373</v>
      </c>
      <c r="P86" s="20" t="s">
        <v>160</v>
      </c>
    </row>
    <row r="87" spans="1:16" ht="15" hidden="1" customHeight="1" outlineLevel="1" x14ac:dyDescent="0.25">
      <c r="B87" s="20" t="s">
        <v>154</v>
      </c>
      <c r="C87" s="21" t="s">
        <v>161</v>
      </c>
      <c r="E87" s="7">
        <f t="shared" ref="E87:J87" si="41">E75-E30/2</f>
        <v>290</v>
      </c>
      <c r="F87" s="7">
        <f t="shared" si="41"/>
        <v>290</v>
      </c>
      <c r="G87" s="7">
        <f t="shared" si="41"/>
        <v>290</v>
      </c>
      <c r="H87" s="7">
        <f t="shared" si="41"/>
        <v>290</v>
      </c>
      <c r="I87" s="7">
        <f t="shared" si="41"/>
        <v>290</v>
      </c>
      <c r="J87" s="7">
        <f t="shared" si="41"/>
        <v>290</v>
      </c>
      <c r="K87" s="7">
        <f>K75-K30/2</f>
        <v>290</v>
      </c>
      <c r="L87" s="7">
        <f>L75-L30/2</f>
        <v>290</v>
      </c>
      <c r="M87" s="7">
        <f>M75-M30/2</f>
        <v>290</v>
      </c>
      <c r="O87" s="20" t="s">
        <v>0</v>
      </c>
      <c r="P87" s="20" t="s">
        <v>160</v>
      </c>
    </row>
    <row r="88" spans="1:16" ht="15" hidden="1" customHeight="1" outlineLevel="1" x14ac:dyDescent="0.25">
      <c r="B88" s="20" t="s">
        <v>155</v>
      </c>
      <c r="C88" s="21" t="s">
        <v>162</v>
      </c>
      <c r="E88" s="7">
        <f t="shared" ref="E88:J88" si="42">E76-E32/2</f>
        <v>290</v>
      </c>
      <c r="F88" s="7">
        <f t="shared" si="42"/>
        <v>290</v>
      </c>
      <c r="G88" s="7">
        <f t="shared" si="42"/>
        <v>290</v>
      </c>
      <c r="H88" s="7">
        <f t="shared" si="42"/>
        <v>290</v>
      </c>
      <c r="I88" s="7">
        <f t="shared" si="42"/>
        <v>290</v>
      </c>
      <c r="J88" s="7">
        <f t="shared" si="42"/>
        <v>290</v>
      </c>
      <c r="K88" s="7">
        <f>K76-K32/2</f>
        <v>290</v>
      </c>
      <c r="L88" s="7">
        <f>L76-L32/2</f>
        <v>290</v>
      </c>
      <c r="M88" s="7">
        <f>M76-M32/2</f>
        <v>290</v>
      </c>
      <c r="O88" s="20" t="s">
        <v>0</v>
      </c>
      <c r="P88" s="20" t="s">
        <v>160</v>
      </c>
    </row>
    <row r="89" spans="1:16" ht="15" hidden="1" customHeight="1" outlineLevel="1" x14ac:dyDescent="0.25">
      <c r="B89" s="20" t="s">
        <v>156</v>
      </c>
      <c r="C89" s="21" t="s">
        <v>163</v>
      </c>
      <c r="E89" s="48">
        <f t="shared" ref="E89:M89" si="43">(E87+E88)^2*E85*E86/(E85+E86)</f>
        <v>4380208333333.333</v>
      </c>
      <c r="F89" s="48">
        <f t="shared" si="43"/>
        <v>4380208333333.333</v>
      </c>
      <c r="G89" s="48">
        <f t="shared" si="43"/>
        <v>4380208333333.333</v>
      </c>
      <c r="H89" s="48">
        <f t="shared" si="43"/>
        <v>4380208333333.333</v>
      </c>
      <c r="I89" s="48">
        <f t="shared" si="43"/>
        <v>4380208333333.333</v>
      </c>
      <c r="J89" s="48">
        <f t="shared" si="43"/>
        <v>4380208333333.333</v>
      </c>
      <c r="K89" s="48">
        <f t="shared" si="43"/>
        <v>4380208333333.333</v>
      </c>
      <c r="L89" s="48">
        <f t="shared" si="43"/>
        <v>4380208333333.333</v>
      </c>
      <c r="M89" s="48">
        <f t="shared" si="43"/>
        <v>4380208333333.333</v>
      </c>
      <c r="O89" s="20" t="s">
        <v>374</v>
      </c>
      <c r="P89" s="20" t="s">
        <v>160</v>
      </c>
    </row>
    <row r="90" spans="1:16" ht="15" hidden="1" customHeight="1" outlineLevel="1" x14ac:dyDescent="0.25">
      <c r="B90" s="21" t="s">
        <v>157</v>
      </c>
      <c r="C90" s="21" t="s">
        <v>191</v>
      </c>
      <c r="E90" s="7">
        <f t="shared" ref="E90:M90" si="44">0.45*(E87+E88)*(2*E85/(E85+E86)-1)*(1-E80^2/E77^2)</f>
        <v>0</v>
      </c>
      <c r="F90" s="7">
        <f t="shared" si="44"/>
        <v>0</v>
      </c>
      <c r="G90" s="7">
        <f t="shared" si="44"/>
        <v>0</v>
      </c>
      <c r="H90" s="7">
        <f t="shared" si="44"/>
        <v>0</v>
      </c>
      <c r="I90" s="7">
        <f t="shared" si="44"/>
        <v>0</v>
      </c>
      <c r="J90" s="7">
        <f t="shared" si="44"/>
        <v>0</v>
      </c>
      <c r="K90" s="7">
        <f t="shared" si="44"/>
        <v>0</v>
      </c>
      <c r="L90" s="7">
        <f t="shared" si="44"/>
        <v>0</v>
      </c>
      <c r="M90" s="7">
        <f t="shared" si="44"/>
        <v>0</v>
      </c>
      <c r="O90" s="20" t="s">
        <v>0</v>
      </c>
      <c r="P90" s="20" t="s">
        <v>190</v>
      </c>
    </row>
    <row r="91" spans="1:16" ht="15" customHeight="1" collapsed="1" x14ac:dyDescent="0.25">
      <c r="E91" s="7"/>
      <c r="F91" s="7"/>
      <c r="G91" s="7"/>
      <c r="H91" s="7"/>
      <c r="I91" s="7"/>
      <c r="J91" s="7"/>
      <c r="K91" s="7"/>
      <c r="L91" s="7"/>
      <c r="M91" s="7"/>
    </row>
    <row r="92" spans="1:16" ht="15" customHeight="1" x14ac:dyDescent="0.25">
      <c r="E92" s="7"/>
      <c r="F92" s="7"/>
      <c r="G92" s="7"/>
      <c r="H92" s="7"/>
      <c r="I92" s="7"/>
      <c r="J92" s="7"/>
      <c r="K92" s="7"/>
      <c r="L92" s="7"/>
      <c r="M92" s="7"/>
    </row>
    <row r="93" spans="1:16" ht="15" customHeight="1" x14ac:dyDescent="0.3">
      <c r="A93" s="37" t="s">
        <v>459</v>
      </c>
      <c r="C93" s="21"/>
      <c r="P93" s="20" t="s">
        <v>503</v>
      </c>
    </row>
    <row r="94" spans="1:16" ht="15" hidden="1" customHeight="1" outlineLevel="1" x14ac:dyDescent="0.25">
      <c r="C94" s="21"/>
    </row>
    <row r="95" spans="1:16" ht="15" hidden="1" customHeight="1" outlineLevel="1" x14ac:dyDescent="0.25">
      <c r="A95" s="39" t="s">
        <v>287</v>
      </c>
      <c r="C95" s="40"/>
      <c r="P95" s="20" t="s">
        <v>503</v>
      </c>
    </row>
    <row r="96" spans="1:16" ht="15" hidden="1" customHeight="1" outlineLevel="1" x14ac:dyDescent="0.25">
      <c r="B96" s="20" t="s">
        <v>288</v>
      </c>
      <c r="C96" s="21" t="s">
        <v>355</v>
      </c>
      <c r="E96" s="63">
        <v>1</v>
      </c>
      <c r="F96" s="63">
        <v>1</v>
      </c>
      <c r="G96" s="63">
        <v>1</v>
      </c>
      <c r="H96" s="63">
        <f t="shared" ref="H96:M96" si="45">MIN(1,(H24/H22))</f>
        <v>0.4375</v>
      </c>
      <c r="I96" s="63">
        <f t="shared" si="45"/>
        <v>0.4375</v>
      </c>
      <c r="J96" s="63">
        <f t="shared" si="45"/>
        <v>0.4375</v>
      </c>
      <c r="K96" s="63">
        <f t="shared" si="45"/>
        <v>0.4375</v>
      </c>
      <c r="L96" s="63">
        <f t="shared" si="45"/>
        <v>0.4375</v>
      </c>
      <c r="M96" s="63">
        <f t="shared" si="45"/>
        <v>0.4375</v>
      </c>
    </row>
    <row r="97" spans="1:16" ht="15" hidden="1" customHeight="1" outlineLevel="1" x14ac:dyDescent="0.25">
      <c r="B97" s="20" t="s">
        <v>289</v>
      </c>
      <c r="C97" s="21" t="s">
        <v>355</v>
      </c>
      <c r="E97" s="63">
        <v>1</v>
      </c>
      <c r="F97" s="63">
        <v>1</v>
      </c>
      <c r="G97" s="63">
        <v>1</v>
      </c>
      <c r="H97" s="63">
        <f t="shared" ref="H97:M97" si="46">MIN(1,(H24/H22))</f>
        <v>0.4375</v>
      </c>
      <c r="I97" s="63">
        <f t="shared" si="46"/>
        <v>0.4375</v>
      </c>
      <c r="J97" s="63">
        <f t="shared" si="46"/>
        <v>0.4375</v>
      </c>
      <c r="K97" s="63">
        <f t="shared" si="46"/>
        <v>0.4375</v>
      </c>
      <c r="L97" s="63">
        <f t="shared" si="46"/>
        <v>0.4375</v>
      </c>
      <c r="M97" s="63">
        <f t="shared" si="46"/>
        <v>0.4375</v>
      </c>
    </row>
    <row r="98" spans="1:16" ht="15" hidden="1" customHeight="1" outlineLevel="1" x14ac:dyDescent="0.25">
      <c r="B98" s="20" t="s">
        <v>290</v>
      </c>
      <c r="C98" s="21" t="s">
        <v>355</v>
      </c>
      <c r="E98" s="63">
        <v>1</v>
      </c>
      <c r="F98" s="63">
        <v>1</v>
      </c>
      <c r="G98" s="63">
        <v>1</v>
      </c>
      <c r="H98" s="63">
        <f t="shared" ref="H98:M98" si="47">MIN(1,(H24/H22))</f>
        <v>0.4375</v>
      </c>
      <c r="I98" s="63">
        <f t="shared" si="47"/>
        <v>0.4375</v>
      </c>
      <c r="J98" s="63">
        <f t="shared" si="47"/>
        <v>0.4375</v>
      </c>
      <c r="K98" s="63">
        <f t="shared" si="47"/>
        <v>0.4375</v>
      </c>
      <c r="L98" s="63">
        <f t="shared" si="47"/>
        <v>0.4375</v>
      </c>
      <c r="M98" s="63">
        <f t="shared" si="47"/>
        <v>0.4375</v>
      </c>
    </row>
    <row r="99" spans="1:16" ht="15" hidden="1" customHeight="1" outlineLevel="1" x14ac:dyDescent="0.25">
      <c r="B99" s="20" t="s">
        <v>291</v>
      </c>
      <c r="C99" s="21" t="s">
        <v>355</v>
      </c>
      <c r="E99" s="64">
        <v>0</v>
      </c>
      <c r="F99" s="63">
        <f>MIN(1,(F24/F22))</f>
        <v>0.4375</v>
      </c>
      <c r="G99" s="63">
        <f>MIN(1,(G24/G22))</f>
        <v>0.4375</v>
      </c>
      <c r="H99" s="63">
        <v>1</v>
      </c>
      <c r="I99" s="63">
        <v>1</v>
      </c>
      <c r="J99" s="63">
        <v>1</v>
      </c>
      <c r="K99" s="64">
        <f>MIN(1,(K24/K22))</f>
        <v>0.4375</v>
      </c>
      <c r="L99" s="64">
        <f>MIN(1,(L24/L22))</f>
        <v>0.4375</v>
      </c>
      <c r="M99" s="64">
        <f>MIN(1,(M24/M22))</f>
        <v>0.4375</v>
      </c>
    </row>
    <row r="100" spans="1:16" ht="15" hidden="1" customHeight="1" outlineLevel="1" x14ac:dyDescent="0.25">
      <c r="B100" s="20" t="s">
        <v>292</v>
      </c>
      <c r="C100" s="21" t="s">
        <v>355</v>
      </c>
      <c r="E100" s="64">
        <v>0</v>
      </c>
      <c r="F100" s="63">
        <v>1</v>
      </c>
      <c r="G100" s="63">
        <v>1</v>
      </c>
      <c r="H100" s="63">
        <f t="shared" ref="H100:M100" si="48">MIN(1,(H24/H22))</f>
        <v>0.4375</v>
      </c>
      <c r="I100" s="63">
        <f t="shared" si="48"/>
        <v>0.4375</v>
      </c>
      <c r="J100" s="63">
        <f t="shared" si="48"/>
        <v>0.4375</v>
      </c>
      <c r="K100" s="64">
        <f t="shared" si="48"/>
        <v>0.4375</v>
      </c>
      <c r="L100" s="64">
        <f t="shared" si="48"/>
        <v>0.4375</v>
      </c>
      <c r="M100" s="64">
        <f t="shared" si="48"/>
        <v>0.4375</v>
      </c>
    </row>
    <row r="101" spans="1:16" ht="15" hidden="1" customHeight="1" outlineLevel="1" x14ac:dyDescent="0.25">
      <c r="B101" s="20" t="s">
        <v>293</v>
      </c>
      <c r="C101" s="21" t="s">
        <v>355</v>
      </c>
      <c r="E101" s="64">
        <v>0</v>
      </c>
      <c r="F101" s="64">
        <v>0</v>
      </c>
      <c r="G101" s="64">
        <f>G99</f>
        <v>0.4375</v>
      </c>
      <c r="H101" s="64">
        <v>0</v>
      </c>
      <c r="I101" s="64">
        <v>0</v>
      </c>
      <c r="J101" s="64">
        <v>0</v>
      </c>
      <c r="K101" s="64">
        <f>MIN(1,(K24/K22))</f>
        <v>0.4375</v>
      </c>
      <c r="L101" s="64">
        <f>MIN(1,(L24/L22))</f>
        <v>0.4375</v>
      </c>
      <c r="M101" s="64">
        <f>MIN(1,(M24/M22))</f>
        <v>0.4375</v>
      </c>
    </row>
    <row r="102" spans="1:16" ht="15" hidden="1" customHeight="1" outlineLevel="1" x14ac:dyDescent="0.25">
      <c r="B102" s="20" t="s">
        <v>294</v>
      </c>
      <c r="C102" s="21" t="s">
        <v>355</v>
      </c>
      <c r="E102" s="64">
        <v>0</v>
      </c>
      <c r="F102" s="64">
        <v>0</v>
      </c>
      <c r="G102" s="64">
        <v>1</v>
      </c>
      <c r="H102" s="64">
        <v>0</v>
      </c>
      <c r="I102" s="64">
        <v>0</v>
      </c>
      <c r="J102" s="64">
        <v>0</v>
      </c>
      <c r="K102" s="64">
        <f>MIN(1,(K24/K22))</f>
        <v>0.4375</v>
      </c>
      <c r="L102" s="64">
        <f>MIN(1,(L24/L22))</f>
        <v>0.4375</v>
      </c>
      <c r="M102" s="64">
        <f>MIN(1,(M24/M22))</f>
        <v>0.4375</v>
      </c>
    </row>
    <row r="103" spans="1:16" ht="15" hidden="1" customHeight="1" outlineLevel="1" x14ac:dyDescent="0.25">
      <c r="B103" s="20" t="s">
        <v>418</v>
      </c>
      <c r="C103" s="21" t="s">
        <v>355</v>
      </c>
      <c r="E103" s="64">
        <v>0</v>
      </c>
      <c r="F103" s="64">
        <v>0</v>
      </c>
      <c r="G103" s="64">
        <v>0</v>
      </c>
      <c r="H103" s="64">
        <v>0</v>
      </c>
      <c r="I103" s="64">
        <v>0</v>
      </c>
      <c r="J103" s="64">
        <v>0</v>
      </c>
      <c r="K103" s="64">
        <v>0</v>
      </c>
      <c r="L103" s="64">
        <v>0</v>
      </c>
      <c r="M103" s="64">
        <v>0</v>
      </c>
    </row>
    <row r="104" spans="1:16" ht="15" hidden="1" customHeight="1" outlineLevel="1" x14ac:dyDescent="0.3">
      <c r="A104" s="37"/>
      <c r="C104" s="21"/>
    </row>
    <row r="105" spans="1:16" ht="15" hidden="1" customHeight="1" outlineLevel="1" x14ac:dyDescent="0.25">
      <c r="A105" s="39" t="s">
        <v>268</v>
      </c>
      <c r="C105" s="40"/>
      <c r="P105" s="20" t="s">
        <v>307</v>
      </c>
    </row>
    <row r="106" spans="1:16" ht="15" hidden="1" customHeight="1" outlineLevel="1" x14ac:dyDescent="0.25">
      <c r="B106" s="20" t="s">
        <v>269</v>
      </c>
      <c r="C106" s="21" t="s">
        <v>48</v>
      </c>
      <c r="E106" s="49">
        <f>E30</f>
        <v>20</v>
      </c>
      <c r="F106" s="49">
        <f t="shared" ref="F106:M106" si="49">F30</f>
        <v>20</v>
      </c>
      <c r="G106" s="49">
        <f t="shared" si="49"/>
        <v>20</v>
      </c>
      <c r="H106" s="49">
        <f t="shared" si="49"/>
        <v>20</v>
      </c>
      <c r="I106" s="49">
        <f t="shared" si="49"/>
        <v>20</v>
      </c>
      <c r="J106" s="49">
        <f t="shared" si="49"/>
        <v>20</v>
      </c>
      <c r="K106" s="49">
        <f t="shared" si="49"/>
        <v>20</v>
      </c>
      <c r="L106" s="49">
        <f t="shared" si="49"/>
        <v>20</v>
      </c>
      <c r="M106" s="49">
        <f t="shared" si="49"/>
        <v>20</v>
      </c>
      <c r="O106" s="20" t="s">
        <v>0</v>
      </c>
    </row>
    <row r="107" spans="1:16" ht="15" hidden="1" customHeight="1" outlineLevel="1" x14ac:dyDescent="0.25">
      <c r="B107" s="20" t="s">
        <v>270</v>
      </c>
      <c r="C107" s="21" t="s">
        <v>295</v>
      </c>
      <c r="E107" s="49">
        <f>E30*E96</f>
        <v>20</v>
      </c>
      <c r="F107" s="49">
        <f t="shared" ref="F107:M107" si="50">F30*F96</f>
        <v>20</v>
      </c>
      <c r="G107" s="49">
        <f t="shared" si="50"/>
        <v>20</v>
      </c>
      <c r="H107" s="49">
        <f t="shared" si="50"/>
        <v>8.75</v>
      </c>
      <c r="I107" s="49">
        <f t="shared" si="50"/>
        <v>8.75</v>
      </c>
      <c r="J107" s="49">
        <f t="shared" si="50"/>
        <v>8.75</v>
      </c>
      <c r="K107" s="49">
        <f t="shared" si="50"/>
        <v>8.75</v>
      </c>
      <c r="L107" s="49">
        <f t="shared" si="50"/>
        <v>8.75</v>
      </c>
      <c r="M107" s="49">
        <f t="shared" si="50"/>
        <v>8.75</v>
      </c>
      <c r="O107" s="20" t="s">
        <v>0</v>
      </c>
    </row>
    <row r="108" spans="1:16" ht="15" hidden="1" customHeight="1" outlineLevel="1" x14ac:dyDescent="0.25">
      <c r="B108" s="20" t="s">
        <v>271</v>
      </c>
      <c r="C108" s="21" t="s">
        <v>298</v>
      </c>
      <c r="E108" s="45">
        <f>(E31-E109)/2</f>
        <v>117</v>
      </c>
      <c r="F108" s="45">
        <f t="shared" ref="F108:M108" si="51">(F31-F109)/2</f>
        <v>117</v>
      </c>
      <c r="G108" s="45">
        <f t="shared" si="51"/>
        <v>117</v>
      </c>
      <c r="H108" s="45">
        <f t="shared" si="51"/>
        <v>82</v>
      </c>
      <c r="I108" s="45">
        <f t="shared" si="51"/>
        <v>0</v>
      </c>
      <c r="J108" s="45">
        <f t="shared" si="51"/>
        <v>82</v>
      </c>
      <c r="K108" s="45">
        <f t="shared" si="51"/>
        <v>82</v>
      </c>
      <c r="L108" s="45">
        <f t="shared" si="51"/>
        <v>0</v>
      </c>
      <c r="M108" s="45">
        <f t="shared" si="51"/>
        <v>0</v>
      </c>
      <c r="O108" s="20" t="s">
        <v>0</v>
      </c>
    </row>
    <row r="109" spans="1:16" ht="15" hidden="1" customHeight="1" outlineLevel="1" x14ac:dyDescent="0.25">
      <c r="B109" s="20" t="s">
        <v>272</v>
      </c>
      <c r="C109" s="21" t="s">
        <v>297</v>
      </c>
      <c r="E109" s="45">
        <f>E34+2*E42</f>
        <v>16</v>
      </c>
      <c r="F109" s="45">
        <f t="shared" ref="F109:M109" si="52">F34+2*F42</f>
        <v>16</v>
      </c>
      <c r="G109" s="45">
        <f t="shared" si="52"/>
        <v>16</v>
      </c>
      <c r="H109" s="45">
        <f t="shared" si="52"/>
        <v>86</v>
      </c>
      <c r="I109" s="45">
        <f t="shared" si="52"/>
        <v>250</v>
      </c>
      <c r="J109" s="45">
        <f t="shared" si="52"/>
        <v>86</v>
      </c>
      <c r="K109" s="45">
        <f t="shared" si="52"/>
        <v>86</v>
      </c>
      <c r="L109" s="45">
        <f t="shared" si="52"/>
        <v>250</v>
      </c>
      <c r="M109" s="45">
        <f t="shared" si="52"/>
        <v>250</v>
      </c>
      <c r="O109" s="20" t="s">
        <v>0</v>
      </c>
    </row>
    <row r="110" spans="1:16" ht="15" hidden="1" customHeight="1" outlineLevel="1" x14ac:dyDescent="0.25">
      <c r="B110" s="20" t="s">
        <v>273</v>
      </c>
      <c r="C110" s="21" t="s">
        <v>46</v>
      </c>
      <c r="E110" s="49">
        <f>E32</f>
        <v>20</v>
      </c>
      <c r="F110" s="49">
        <f t="shared" ref="F110:M110" si="53">F32</f>
        <v>20</v>
      </c>
      <c r="G110" s="49">
        <f t="shared" si="53"/>
        <v>20</v>
      </c>
      <c r="H110" s="49">
        <f t="shared" si="53"/>
        <v>20</v>
      </c>
      <c r="I110" s="49">
        <f t="shared" si="53"/>
        <v>20</v>
      </c>
      <c r="J110" s="49">
        <f t="shared" si="53"/>
        <v>20</v>
      </c>
      <c r="K110" s="49">
        <f t="shared" si="53"/>
        <v>20</v>
      </c>
      <c r="L110" s="49">
        <f t="shared" si="53"/>
        <v>20</v>
      </c>
      <c r="M110" s="49">
        <f t="shared" si="53"/>
        <v>20</v>
      </c>
      <c r="O110" s="20" t="s">
        <v>0</v>
      </c>
    </row>
    <row r="111" spans="1:16" ht="15" hidden="1" customHeight="1" outlineLevel="1" x14ac:dyDescent="0.25">
      <c r="B111" s="20" t="s">
        <v>274</v>
      </c>
      <c r="C111" s="21" t="s">
        <v>296</v>
      </c>
      <c r="E111" s="49">
        <f>E32*E97</f>
        <v>20</v>
      </c>
      <c r="F111" s="49">
        <f t="shared" ref="F111:M111" si="54">F32*F97</f>
        <v>20</v>
      </c>
      <c r="G111" s="49">
        <f t="shared" si="54"/>
        <v>20</v>
      </c>
      <c r="H111" s="49">
        <f t="shared" si="54"/>
        <v>8.75</v>
      </c>
      <c r="I111" s="49">
        <f t="shared" si="54"/>
        <v>8.75</v>
      </c>
      <c r="J111" s="49">
        <f t="shared" si="54"/>
        <v>8.75</v>
      </c>
      <c r="K111" s="49">
        <f t="shared" si="54"/>
        <v>8.75</v>
      </c>
      <c r="L111" s="49">
        <f t="shared" si="54"/>
        <v>8.75</v>
      </c>
      <c r="M111" s="49">
        <f t="shared" si="54"/>
        <v>8.75</v>
      </c>
      <c r="O111" s="20" t="s">
        <v>0</v>
      </c>
    </row>
    <row r="112" spans="1:16" ht="15" hidden="1" customHeight="1" outlineLevel="1" x14ac:dyDescent="0.25">
      <c r="B112" s="20" t="s">
        <v>275</v>
      </c>
      <c r="C112" s="21" t="s">
        <v>299</v>
      </c>
      <c r="E112" s="45">
        <f>(E33-E113)/2</f>
        <v>117</v>
      </c>
      <c r="F112" s="45">
        <f t="shared" ref="F112:M112" si="55">(F33-F113)/2</f>
        <v>117</v>
      </c>
      <c r="G112" s="45">
        <f t="shared" si="55"/>
        <v>117</v>
      </c>
      <c r="H112" s="45">
        <f t="shared" si="55"/>
        <v>82</v>
      </c>
      <c r="I112" s="45">
        <f t="shared" si="55"/>
        <v>82</v>
      </c>
      <c r="J112" s="45">
        <f t="shared" si="55"/>
        <v>0</v>
      </c>
      <c r="K112" s="45">
        <f t="shared" si="55"/>
        <v>82</v>
      </c>
      <c r="L112" s="45">
        <f t="shared" si="55"/>
        <v>0</v>
      </c>
      <c r="M112" s="45">
        <f t="shared" si="55"/>
        <v>0</v>
      </c>
      <c r="O112" s="20" t="s">
        <v>0</v>
      </c>
    </row>
    <row r="113" spans="1:15" ht="15" hidden="1" customHeight="1" outlineLevel="1" x14ac:dyDescent="0.25">
      <c r="B113" s="20" t="s">
        <v>276</v>
      </c>
      <c r="C113" s="21" t="s">
        <v>300</v>
      </c>
      <c r="E113" s="45">
        <f>E34+2*E43</f>
        <v>16</v>
      </c>
      <c r="F113" s="45">
        <f t="shared" ref="F113:M113" si="56">F34+2*F43</f>
        <v>16</v>
      </c>
      <c r="G113" s="45">
        <f t="shared" si="56"/>
        <v>16</v>
      </c>
      <c r="H113" s="45">
        <f t="shared" si="56"/>
        <v>86</v>
      </c>
      <c r="I113" s="45">
        <f t="shared" si="56"/>
        <v>86</v>
      </c>
      <c r="J113" s="45">
        <f t="shared" si="56"/>
        <v>250</v>
      </c>
      <c r="K113" s="45">
        <f t="shared" si="56"/>
        <v>86</v>
      </c>
      <c r="L113" s="45">
        <f t="shared" si="56"/>
        <v>250</v>
      </c>
      <c r="M113" s="45">
        <f t="shared" si="56"/>
        <v>250</v>
      </c>
      <c r="O113" s="20" t="s">
        <v>0</v>
      </c>
    </row>
    <row r="114" spans="1:15" ht="15" hidden="1" customHeight="1" outlineLevel="1" x14ac:dyDescent="0.25">
      <c r="B114" s="20" t="s">
        <v>277</v>
      </c>
      <c r="C114" s="21" t="s">
        <v>301</v>
      </c>
      <c r="E114" s="49">
        <f>E34*E98</f>
        <v>16</v>
      </c>
      <c r="F114" s="49">
        <f t="shared" ref="F114:M114" si="57">F34*F98</f>
        <v>16</v>
      </c>
      <c r="G114" s="49">
        <f t="shared" si="57"/>
        <v>16</v>
      </c>
      <c r="H114" s="49">
        <f t="shared" si="57"/>
        <v>7</v>
      </c>
      <c r="I114" s="49">
        <f t="shared" si="57"/>
        <v>7</v>
      </c>
      <c r="J114" s="49">
        <f t="shared" si="57"/>
        <v>7</v>
      </c>
      <c r="K114" s="49">
        <f t="shared" si="57"/>
        <v>7</v>
      </c>
      <c r="L114" s="49">
        <f t="shared" si="57"/>
        <v>7</v>
      </c>
      <c r="M114" s="49">
        <f t="shared" si="57"/>
        <v>7</v>
      </c>
      <c r="O114" s="20" t="s">
        <v>0</v>
      </c>
    </row>
    <row r="115" spans="1:15" ht="15" hidden="1" customHeight="1" outlineLevel="1" x14ac:dyDescent="0.25">
      <c r="B115" s="20" t="s">
        <v>278</v>
      </c>
      <c r="C115" s="21" t="s">
        <v>302</v>
      </c>
      <c r="E115" s="49">
        <f>E34*E99</f>
        <v>0</v>
      </c>
      <c r="F115" s="49">
        <f t="shared" ref="F115:M115" si="58">F34*F99</f>
        <v>7</v>
      </c>
      <c r="G115" s="49">
        <f t="shared" si="58"/>
        <v>7</v>
      </c>
      <c r="H115" s="49">
        <f t="shared" si="58"/>
        <v>16</v>
      </c>
      <c r="I115" s="49">
        <f t="shared" si="58"/>
        <v>16</v>
      </c>
      <c r="J115" s="49">
        <f t="shared" si="58"/>
        <v>16</v>
      </c>
      <c r="K115" s="49">
        <f t="shared" si="58"/>
        <v>7</v>
      </c>
      <c r="L115" s="49">
        <f t="shared" si="58"/>
        <v>7</v>
      </c>
      <c r="M115" s="49">
        <f t="shared" si="58"/>
        <v>7</v>
      </c>
      <c r="O115" s="20" t="s">
        <v>0</v>
      </c>
    </row>
    <row r="116" spans="1:15" ht="15" hidden="1" customHeight="1" outlineLevel="1" x14ac:dyDescent="0.25">
      <c r="B116" s="20" t="s">
        <v>279</v>
      </c>
      <c r="C116" s="21" t="s">
        <v>303</v>
      </c>
      <c r="E116" s="49">
        <f>E34*E100</f>
        <v>0</v>
      </c>
      <c r="F116" s="49">
        <f t="shared" ref="F116:M116" si="59">F34*F100</f>
        <v>16</v>
      </c>
      <c r="G116" s="49">
        <f t="shared" si="59"/>
        <v>16</v>
      </c>
      <c r="H116" s="49">
        <f t="shared" si="59"/>
        <v>7</v>
      </c>
      <c r="I116" s="49">
        <f t="shared" si="59"/>
        <v>7</v>
      </c>
      <c r="J116" s="49">
        <f t="shared" si="59"/>
        <v>7</v>
      </c>
      <c r="K116" s="49">
        <f t="shared" si="59"/>
        <v>7</v>
      </c>
      <c r="L116" s="49">
        <f t="shared" si="59"/>
        <v>7</v>
      </c>
      <c r="M116" s="49">
        <f t="shared" si="59"/>
        <v>7</v>
      </c>
      <c r="O116" s="20" t="s">
        <v>0</v>
      </c>
    </row>
    <row r="117" spans="1:15" ht="15" hidden="1" customHeight="1" outlineLevel="1" x14ac:dyDescent="0.25">
      <c r="B117" s="20" t="s">
        <v>280</v>
      </c>
      <c r="C117" s="21" t="s">
        <v>304</v>
      </c>
      <c r="E117" s="49">
        <f>E34*E101</f>
        <v>0</v>
      </c>
      <c r="F117" s="49">
        <f t="shared" ref="F117:M117" si="60">F34*F101</f>
        <v>0</v>
      </c>
      <c r="G117" s="49">
        <f t="shared" si="60"/>
        <v>7</v>
      </c>
      <c r="H117" s="49">
        <f t="shared" si="60"/>
        <v>0</v>
      </c>
      <c r="I117" s="49">
        <f t="shared" si="60"/>
        <v>0</v>
      </c>
      <c r="J117" s="49">
        <f t="shared" si="60"/>
        <v>0</v>
      </c>
      <c r="K117" s="49">
        <f t="shared" si="60"/>
        <v>7</v>
      </c>
      <c r="L117" s="49">
        <f t="shared" si="60"/>
        <v>7</v>
      </c>
      <c r="M117" s="49">
        <f t="shared" si="60"/>
        <v>7</v>
      </c>
      <c r="O117" s="20" t="s">
        <v>0</v>
      </c>
    </row>
    <row r="118" spans="1:15" ht="15" hidden="1" customHeight="1" outlineLevel="1" x14ac:dyDescent="0.25">
      <c r="B118" s="20" t="s">
        <v>281</v>
      </c>
      <c r="C118" s="21" t="s">
        <v>305</v>
      </c>
      <c r="E118" s="49">
        <f>E34*E102</f>
        <v>0</v>
      </c>
      <c r="F118" s="49">
        <f t="shared" ref="F118:M118" si="61">F34*F102</f>
        <v>0</v>
      </c>
      <c r="G118" s="49">
        <f t="shared" si="61"/>
        <v>16</v>
      </c>
      <c r="H118" s="49">
        <f t="shared" si="61"/>
        <v>0</v>
      </c>
      <c r="I118" s="49">
        <f t="shared" si="61"/>
        <v>0</v>
      </c>
      <c r="J118" s="49">
        <f t="shared" si="61"/>
        <v>0</v>
      </c>
      <c r="K118" s="49">
        <f t="shared" si="61"/>
        <v>7</v>
      </c>
      <c r="L118" s="49">
        <f t="shared" si="61"/>
        <v>7</v>
      </c>
      <c r="M118" s="49">
        <f t="shared" si="61"/>
        <v>7</v>
      </c>
      <c r="O118" s="20" t="s">
        <v>0</v>
      </c>
    </row>
    <row r="119" spans="1:15" ht="15" hidden="1" customHeight="1" outlineLevel="1" x14ac:dyDescent="0.25">
      <c r="B119" s="20" t="s">
        <v>416</v>
      </c>
      <c r="C119" s="21" t="s">
        <v>417</v>
      </c>
      <c r="E119" s="49">
        <f>E34*E103</f>
        <v>0</v>
      </c>
      <c r="F119" s="49">
        <f t="shared" ref="F119:M119" si="62">F34*F103</f>
        <v>0</v>
      </c>
      <c r="G119" s="49">
        <f t="shared" si="62"/>
        <v>0</v>
      </c>
      <c r="H119" s="49">
        <f t="shared" si="62"/>
        <v>0</v>
      </c>
      <c r="I119" s="49">
        <f t="shared" si="62"/>
        <v>0</v>
      </c>
      <c r="J119" s="49">
        <f t="shared" si="62"/>
        <v>0</v>
      </c>
      <c r="K119" s="49">
        <f t="shared" si="62"/>
        <v>0</v>
      </c>
      <c r="L119" s="49">
        <f t="shared" si="62"/>
        <v>0</v>
      </c>
      <c r="M119" s="49">
        <f t="shared" si="62"/>
        <v>0</v>
      </c>
      <c r="O119" s="20" t="s">
        <v>0</v>
      </c>
    </row>
    <row r="120" spans="1:15" ht="15" hidden="1" customHeight="1" outlineLevel="1" x14ac:dyDescent="0.25">
      <c r="B120" s="20" t="s">
        <v>282</v>
      </c>
      <c r="C120" s="21" t="s">
        <v>306</v>
      </c>
      <c r="E120" s="65">
        <f>E35</f>
        <v>560</v>
      </c>
      <c r="F120" s="65">
        <f>F35/2-F44</f>
        <v>245</v>
      </c>
      <c r="G120" s="65">
        <f>G45-G44</f>
        <v>65</v>
      </c>
      <c r="H120" s="65">
        <f>H44</f>
        <v>35</v>
      </c>
      <c r="I120" s="65">
        <f>I44</f>
        <v>35</v>
      </c>
      <c r="J120" s="65">
        <f>J44</f>
        <v>35</v>
      </c>
      <c r="K120" s="65">
        <f>K35/5</f>
        <v>112</v>
      </c>
      <c r="L120" s="65">
        <f>L35/5</f>
        <v>112</v>
      </c>
      <c r="M120" s="65">
        <f>M35/5</f>
        <v>112</v>
      </c>
      <c r="O120" s="20" t="s">
        <v>0</v>
      </c>
    </row>
    <row r="121" spans="1:15" ht="15" hidden="1" customHeight="1" outlineLevel="1" x14ac:dyDescent="0.25">
      <c r="B121" s="20" t="s">
        <v>283</v>
      </c>
      <c r="C121" s="21" t="s">
        <v>306</v>
      </c>
      <c r="E121" s="65">
        <v>0</v>
      </c>
      <c r="F121" s="65">
        <f>2*F44</f>
        <v>70</v>
      </c>
      <c r="G121" s="65">
        <f>2*G44</f>
        <v>70</v>
      </c>
      <c r="H121" s="65">
        <f>H35-H120-H122</f>
        <v>490</v>
      </c>
      <c r="I121" s="65">
        <f>I35-I120-I122</f>
        <v>490</v>
      </c>
      <c r="J121" s="65">
        <f>J35-J120-J122</f>
        <v>490</v>
      </c>
      <c r="K121" s="65">
        <f>K35/5</f>
        <v>112</v>
      </c>
      <c r="L121" s="65">
        <f>L35/5</f>
        <v>112</v>
      </c>
      <c r="M121" s="65">
        <f>M35/5</f>
        <v>112</v>
      </c>
      <c r="O121" s="20" t="s">
        <v>0</v>
      </c>
    </row>
    <row r="122" spans="1:15" ht="15" hidden="1" customHeight="1" outlineLevel="1" x14ac:dyDescent="0.25">
      <c r="B122" s="20" t="s">
        <v>284</v>
      </c>
      <c r="C122" s="21" t="s">
        <v>306</v>
      </c>
      <c r="E122" s="65">
        <v>0</v>
      </c>
      <c r="F122" s="65">
        <f>F120</f>
        <v>245</v>
      </c>
      <c r="G122" s="65">
        <f>G35-G120-G121-G123-G124</f>
        <v>290</v>
      </c>
      <c r="H122" s="65">
        <f>H120</f>
        <v>35</v>
      </c>
      <c r="I122" s="65">
        <f>I120</f>
        <v>35</v>
      </c>
      <c r="J122" s="65">
        <f>J120</f>
        <v>35</v>
      </c>
      <c r="K122" s="65">
        <f>K35/5</f>
        <v>112</v>
      </c>
      <c r="L122" s="65">
        <f>L35/5</f>
        <v>112</v>
      </c>
      <c r="M122" s="65">
        <f>M35/5</f>
        <v>112</v>
      </c>
      <c r="O122" s="20" t="s">
        <v>0</v>
      </c>
    </row>
    <row r="123" spans="1:15" ht="15" hidden="1" customHeight="1" outlineLevel="1" x14ac:dyDescent="0.25">
      <c r="B123" s="20" t="s">
        <v>285</v>
      </c>
      <c r="C123" s="21" t="s">
        <v>306</v>
      </c>
      <c r="E123" s="65">
        <v>0</v>
      </c>
      <c r="F123" s="65">
        <v>0</v>
      </c>
      <c r="G123" s="65">
        <f>G121</f>
        <v>70</v>
      </c>
      <c r="H123" s="65">
        <v>0</v>
      </c>
      <c r="I123" s="65">
        <v>0</v>
      </c>
      <c r="J123" s="65">
        <v>0</v>
      </c>
      <c r="K123" s="65">
        <f>K35/5</f>
        <v>112</v>
      </c>
      <c r="L123" s="65">
        <f>L35/5</f>
        <v>112</v>
      </c>
      <c r="M123" s="65">
        <f>M35/5</f>
        <v>112</v>
      </c>
      <c r="O123" s="20" t="s">
        <v>0</v>
      </c>
    </row>
    <row r="124" spans="1:15" ht="15" hidden="1" customHeight="1" outlineLevel="1" x14ac:dyDescent="0.25">
      <c r="B124" s="20" t="s">
        <v>286</v>
      </c>
      <c r="C124" s="21" t="s">
        <v>306</v>
      </c>
      <c r="E124" s="65">
        <v>0</v>
      </c>
      <c r="F124" s="65">
        <v>0</v>
      </c>
      <c r="G124" s="65">
        <f>G120</f>
        <v>65</v>
      </c>
      <c r="H124" s="65">
        <v>0</v>
      </c>
      <c r="I124" s="65">
        <v>0</v>
      </c>
      <c r="J124" s="65">
        <v>0</v>
      </c>
      <c r="K124" s="65">
        <f>K35/5</f>
        <v>112</v>
      </c>
      <c r="L124" s="65">
        <f>L35/5</f>
        <v>112</v>
      </c>
      <c r="M124" s="65">
        <f>M35/5</f>
        <v>112</v>
      </c>
      <c r="O124" s="20" t="s">
        <v>0</v>
      </c>
    </row>
    <row r="125" spans="1:15" ht="15" hidden="1" customHeight="1" outlineLevel="1" x14ac:dyDescent="0.25">
      <c r="B125" s="20" t="s">
        <v>419</v>
      </c>
      <c r="C125" s="21" t="s">
        <v>306</v>
      </c>
      <c r="E125" s="65">
        <v>0</v>
      </c>
      <c r="F125" s="65">
        <v>0</v>
      </c>
      <c r="G125" s="65">
        <v>0</v>
      </c>
      <c r="H125" s="65">
        <v>0</v>
      </c>
      <c r="I125" s="65">
        <v>0</v>
      </c>
      <c r="J125" s="65">
        <v>0</v>
      </c>
      <c r="K125" s="65">
        <v>0</v>
      </c>
      <c r="L125" s="65">
        <v>0</v>
      </c>
      <c r="M125" s="65">
        <v>0</v>
      </c>
      <c r="O125" s="20" t="s">
        <v>0</v>
      </c>
    </row>
    <row r="126" spans="1:15" ht="15" hidden="1" customHeight="1" outlineLevel="1" x14ac:dyDescent="0.25">
      <c r="C126" s="21"/>
      <c r="E126" s="50"/>
      <c r="F126" s="50"/>
      <c r="G126" s="50"/>
      <c r="H126" s="50"/>
      <c r="I126" s="50"/>
      <c r="J126" s="50"/>
      <c r="K126" s="50"/>
      <c r="L126" s="50"/>
      <c r="M126" s="50"/>
    </row>
    <row r="127" spans="1:15" ht="15" hidden="1" customHeight="1" outlineLevel="1" x14ac:dyDescent="0.25">
      <c r="A127" s="39" t="s">
        <v>83</v>
      </c>
      <c r="C127" s="40"/>
    </row>
    <row r="128" spans="1:15" ht="15" hidden="1" customHeight="1" outlineLevel="1" x14ac:dyDescent="0.25">
      <c r="B128" s="20" t="s">
        <v>67</v>
      </c>
      <c r="C128" s="21" t="s">
        <v>87</v>
      </c>
      <c r="E128" s="7">
        <f>2*E108*E106+E109*E107</f>
        <v>5000</v>
      </c>
      <c r="F128" s="7">
        <f t="shared" ref="F128:M128" si="63">2*F108*F106+F109*F107</f>
        <v>5000</v>
      </c>
      <c r="G128" s="7">
        <f t="shared" si="63"/>
        <v>5000</v>
      </c>
      <c r="H128" s="7">
        <f t="shared" si="63"/>
        <v>4032.5</v>
      </c>
      <c r="I128" s="7">
        <f t="shared" si="63"/>
        <v>2187.5</v>
      </c>
      <c r="J128" s="7">
        <f t="shared" si="63"/>
        <v>4032.5</v>
      </c>
      <c r="K128" s="7">
        <f t="shared" si="63"/>
        <v>4032.5</v>
      </c>
      <c r="L128" s="7">
        <f t="shared" si="63"/>
        <v>2187.5</v>
      </c>
      <c r="M128" s="7">
        <f t="shared" si="63"/>
        <v>2187.5</v>
      </c>
      <c r="O128" s="20" t="s">
        <v>233</v>
      </c>
    </row>
    <row r="129" spans="1:15" ht="15" hidden="1" customHeight="1" outlineLevel="1" x14ac:dyDescent="0.25">
      <c r="B129" s="20" t="s">
        <v>426</v>
      </c>
      <c r="C129" s="21" t="s">
        <v>88</v>
      </c>
      <c r="E129" s="7">
        <f>E62</f>
        <v>590</v>
      </c>
      <c r="F129" s="7">
        <f t="shared" ref="F129:M129" si="64">F62</f>
        <v>590</v>
      </c>
      <c r="G129" s="7">
        <f t="shared" si="64"/>
        <v>590</v>
      </c>
      <c r="H129" s="7">
        <f t="shared" si="64"/>
        <v>590</v>
      </c>
      <c r="I129" s="7">
        <f t="shared" si="64"/>
        <v>590</v>
      </c>
      <c r="J129" s="7">
        <f t="shared" si="64"/>
        <v>590</v>
      </c>
      <c r="K129" s="7">
        <f t="shared" si="64"/>
        <v>590</v>
      </c>
      <c r="L129" s="7">
        <f t="shared" si="64"/>
        <v>590</v>
      </c>
      <c r="M129" s="7">
        <f t="shared" si="64"/>
        <v>590</v>
      </c>
      <c r="O129" s="20" t="s">
        <v>0</v>
      </c>
    </row>
    <row r="130" spans="1:15" ht="15" hidden="1" customHeight="1" outlineLevel="1" x14ac:dyDescent="0.25">
      <c r="B130" s="20" t="s">
        <v>68</v>
      </c>
      <c r="C130" s="21" t="s">
        <v>89</v>
      </c>
      <c r="E130" s="48">
        <f>2*E108/12*E106^3+E109/12*E107^3+E128*(E161-E129)^2</f>
        <v>420666666.66666669</v>
      </c>
      <c r="F130" s="48">
        <f t="shared" ref="F130:M130" si="65">2*F108/12*F106^3+F109/12*F107^3+F128*(F161-F129)^2</f>
        <v>420666666.66666669</v>
      </c>
      <c r="G130" s="48">
        <f t="shared" si="65"/>
        <v>420666666.66666669</v>
      </c>
      <c r="H130" s="48">
        <f t="shared" si="65"/>
        <v>339247384.44010419</v>
      </c>
      <c r="I130" s="48">
        <f t="shared" si="65"/>
        <v>233596785.08148637</v>
      </c>
      <c r="J130" s="48">
        <f t="shared" si="65"/>
        <v>258693415.71255609</v>
      </c>
      <c r="K130" s="48">
        <f t="shared" si="65"/>
        <v>339247384.44010419</v>
      </c>
      <c r="L130" s="48">
        <f t="shared" si="65"/>
        <v>183982706.70572916</v>
      </c>
      <c r="M130" s="48">
        <f t="shared" si="65"/>
        <v>183982706.70572916</v>
      </c>
      <c r="O130" s="20" t="s">
        <v>373</v>
      </c>
    </row>
    <row r="131" spans="1:15" ht="15" hidden="1" customHeight="1" outlineLevel="1" x14ac:dyDescent="0.25">
      <c r="B131" s="20" t="s">
        <v>65</v>
      </c>
      <c r="C131" s="21" t="s">
        <v>84</v>
      </c>
      <c r="E131" s="7">
        <f>2*E112*E110+E113*E111</f>
        <v>5000</v>
      </c>
      <c r="F131" s="7">
        <f t="shared" ref="F131:M131" si="66">2*F112*F110+F113*F111</f>
        <v>5000</v>
      </c>
      <c r="G131" s="7">
        <f t="shared" si="66"/>
        <v>5000</v>
      </c>
      <c r="H131" s="7">
        <f t="shared" si="66"/>
        <v>4032.5</v>
      </c>
      <c r="I131" s="7">
        <f t="shared" si="66"/>
        <v>4032.5</v>
      </c>
      <c r="J131" s="7">
        <f t="shared" si="66"/>
        <v>2187.5</v>
      </c>
      <c r="K131" s="7">
        <f t="shared" si="66"/>
        <v>4032.5</v>
      </c>
      <c r="L131" s="7">
        <f t="shared" si="66"/>
        <v>2187.5</v>
      </c>
      <c r="M131" s="7">
        <f t="shared" si="66"/>
        <v>2187.5</v>
      </c>
      <c r="O131" s="20" t="s">
        <v>233</v>
      </c>
    </row>
    <row r="132" spans="1:15" ht="15" hidden="1" customHeight="1" outlineLevel="1" x14ac:dyDescent="0.25">
      <c r="B132" s="20" t="s">
        <v>427</v>
      </c>
      <c r="C132" s="21" t="s">
        <v>85</v>
      </c>
      <c r="E132" s="7">
        <f>E65</f>
        <v>10</v>
      </c>
      <c r="F132" s="7">
        <f t="shared" ref="F132:M132" si="67">F65</f>
        <v>10</v>
      </c>
      <c r="G132" s="7">
        <f t="shared" si="67"/>
        <v>10</v>
      </c>
      <c r="H132" s="7">
        <f t="shared" si="67"/>
        <v>10</v>
      </c>
      <c r="I132" s="7">
        <f t="shared" si="67"/>
        <v>10</v>
      </c>
      <c r="J132" s="7">
        <f t="shared" si="67"/>
        <v>10</v>
      </c>
      <c r="K132" s="7">
        <f t="shared" si="67"/>
        <v>10</v>
      </c>
      <c r="L132" s="7">
        <f t="shared" si="67"/>
        <v>10</v>
      </c>
      <c r="M132" s="7">
        <f t="shared" si="67"/>
        <v>10</v>
      </c>
      <c r="O132" s="20" t="s">
        <v>0</v>
      </c>
    </row>
    <row r="133" spans="1:15" ht="15" hidden="1" customHeight="1" outlineLevel="1" x14ac:dyDescent="0.25">
      <c r="B133" s="20" t="s">
        <v>66</v>
      </c>
      <c r="C133" s="21" t="s">
        <v>86</v>
      </c>
      <c r="E133" s="48">
        <f>2*E112/12*E110^3+E113/12*E111^3+E131*(E161-E132)^2</f>
        <v>420666666.66666669</v>
      </c>
      <c r="F133" s="48">
        <f t="shared" ref="F133:M133" si="68">2*F112/12*F110^3+F113/12*F111^3+F131*(F161-F132)^2</f>
        <v>420666666.66666669</v>
      </c>
      <c r="G133" s="48">
        <f t="shared" si="68"/>
        <v>420666666.66666669</v>
      </c>
      <c r="H133" s="48">
        <f t="shared" si="68"/>
        <v>339247384.44010419</v>
      </c>
      <c r="I133" s="48">
        <f t="shared" si="68"/>
        <v>258693415.71255609</v>
      </c>
      <c r="J133" s="48">
        <f t="shared" si="68"/>
        <v>233596785.08148637</v>
      </c>
      <c r="K133" s="48">
        <f t="shared" si="68"/>
        <v>339247384.44010419</v>
      </c>
      <c r="L133" s="48">
        <f t="shared" si="68"/>
        <v>183982706.70572916</v>
      </c>
      <c r="M133" s="48">
        <f t="shared" si="68"/>
        <v>183982706.70572916</v>
      </c>
      <c r="O133" s="20" t="s">
        <v>373</v>
      </c>
    </row>
    <row r="134" spans="1:15" ht="15" hidden="1" customHeight="1" outlineLevel="1" x14ac:dyDescent="0.25">
      <c r="B134" s="20" t="s">
        <v>41</v>
      </c>
      <c r="C134" s="21" t="s">
        <v>90</v>
      </c>
      <c r="E134" s="7">
        <f>SUM(E139,E142,E145,E148,E151,E154)</f>
        <v>8960</v>
      </c>
      <c r="F134" s="7">
        <f t="shared" ref="F134:M134" si="69">SUM(F139,F142,F145,F148,F151,F154)</f>
        <v>8330</v>
      </c>
      <c r="G134" s="7">
        <f t="shared" si="69"/>
        <v>7700</v>
      </c>
      <c r="H134" s="7">
        <f t="shared" si="69"/>
        <v>8330</v>
      </c>
      <c r="I134" s="7">
        <f t="shared" si="69"/>
        <v>8330</v>
      </c>
      <c r="J134" s="7">
        <f t="shared" si="69"/>
        <v>8330</v>
      </c>
      <c r="K134" s="7">
        <f t="shared" si="69"/>
        <v>3920</v>
      </c>
      <c r="L134" s="7">
        <f t="shared" si="69"/>
        <v>3920</v>
      </c>
      <c r="M134" s="7">
        <f t="shared" si="69"/>
        <v>3920</v>
      </c>
      <c r="O134" s="20" t="s">
        <v>233</v>
      </c>
    </row>
    <row r="135" spans="1:15" ht="15" hidden="1" customHeight="1" outlineLevel="1" x14ac:dyDescent="0.25">
      <c r="B135" s="20" t="s">
        <v>428</v>
      </c>
      <c r="C135" s="21" t="s">
        <v>91</v>
      </c>
      <c r="E135" s="7">
        <f>(E139*E140+E142*E143+E145*E146+E148*E149+E151*E152+E154*E155)/E134</f>
        <v>300</v>
      </c>
      <c r="F135" s="7">
        <f t="shared" ref="F135:M135" si="70">(F139*F140+F142*F143+F145*F146+F148*F149+F151*F152+F154*F155)/F134</f>
        <v>300</v>
      </c>
      <c r="G135" s="7">
        <f t="shared" si="70"/>
        <v>300</v>
      </c>
      <c r="H135" s="7">
        <f t="shared" si="70"/>
        <v>300</v>
      </c>
      <c r="I135" s="7">
        <f t="shared" si="70"/>
        <v>300</v>
      </c>
      <c r="J135" s="7">
        <f t="shared" si="70"/>
        <v>300</v>
      </c>
      <c r="K135" s="7">
        <f t="shared" si="70"/>
        <v>300</v>
      </c>
      <c r="L135" s="7">
        <f t="shared" si="70"/>
        <v>300</v>
      </c>
      <c r="M135" s="7">
        <f t="shared" si="70"/>
        <v>300</v>
      </c>
      <c r="O135" s="20" t="s">
        <v>0</v>
      </c>
    </row>
    <row r="136" spans="1:15" ht="15" hidden="1" customHeight="1" outlineLevel="1" x14ac:dyDescent="0.25">
      <c r="B136" s="20" t="s">
        <v>69</v>
      </c>
      <c r="C136" s="21" t="s">
        <v>92</v>
      </c>
      <c r="E136" s="48">
        <f>SUM(E141,E144,E147,E150,E153,E156)</f>
        <v>234154666.66666666</v>
      </c>
      <c r="F136" s="48">
        <f t="shared" ref="F136:M136" si="71">SUM(F141,F144,F147,F150,F153,F156)</f>
        <v>233897416.66666663</v>
      </c>
      <c r="G136" s="48">
        <f t="shared" si="71"/>
        <v>192816166.66666666</v>
      </c>
      <c r="H136" s="48">
        <f t="shared" si="71"/>
        <v>190679416.66666663</v>
      </c>
      <c r="I136" s="48">
        <f t="shared" si="71"/>
        <v>201943808.56484923</v>
      </c>
      <c r="J136" s="48">
        <f t="shared" si="71"/>
        <v>201943808.56484923</v>
      </c>
      <c r="K136" s="48">
        <f t="shared" si="71"/>
        <v>102442666.66666669</v>
      </c>
      <c r="L136" s="48">
        <f t="shared" si="71"/>
        <v>102442666.66666669</v>
      </c>
      <c r="M136" s="48">
        <f t="shared" si="71"/>
        <v>102442666.66666669</v>
      </c>
      <c r="O136" s="20" t="s">
        <v>373</v>
      </c>
    </row>
    <row r="137" spans="1:15" ht="15" hidden="1" customHeight="1" outlineLevel="1" x14ac:dyDescent="0.25">
      <c r="C137" s="21"/>
      <c r="E137" s="50"/>
      <c r="F137" s="50"/>
      <c r="G137" s="50"/>
      <c r="H137" s="50"/>
      <c r="I137" s="50"/>
      <c r="J137" s="50"/>
      <c r="K137" s="50"/>
      <c r="L137" s="50"/>
      <c r="M137" s="50"/>
    </row>
    <row r="138" spans="1:15" ht="15" hidden="1" customHeight="1" outlineLevel="1" x14ac:dyDescent="0.25">
      <c r="A138" s="39" t="s">
        <v>349</v>
      </c>
      <c r="C138" s="40"/>
    </row>
    <row r="139" spans="1:15" ht="15" hidden="1" customHeight="1" outlineLevel="1" x14ac:dyDescent="0.25">
      <c r="B139" s="20" t="s">
        <v>321</v>
      </c>
      <c r="C139" s="21" t="s">
        <v>323</v>
      </c>
      <c r="E139" s="7">
        <f>E114*E120</f>
        <v>8960</v>
      </c>
      <c r="F139" s="7">
        <f t="shared" ref="F139:M139" si="72">F114*F120</f>
        <v>3920</v>
      </c>
      <c r="G139" s="7">
        <f t="shared" si="72"/>
        <v>1040</v>
      </c>
      <c r="H139" s="7">
        <f t="shared" si="72"/>
        <v>245</v>
      </c>
      <c r="I139" s="7">
        <f t="shared" si="72"/>
        <v>245</v>
      </c>
      <c r="J139" s="7">
        <f t="shared" si="72"/>
        <v>245</v>
      </c>
      <c r="K139" s="7">
        <f t="shared" si="72"/>
        <v>784</v>
      </c>
      <c r="L139" s="7">
        <f t="shared" si="72"/>
        <v>784</v>
      </c>
      <c r="M139" s="7">
        <f t="shared" si="72"/>
        <v>784</v>
      </c>
      <c r="O139" s="20" t="s">
        <v>233</v>
      </c>
    </row>
    <row r="140" spans="1:15" ht="15" hidden="1" customHeight="1" outlineLevel="1" x14ac:dyDescent="0.25">
      <c r="B140" s="20" t="s">
        <v>154</v>
      </c>
      <c r="C140" s="21" t="s">
        <v>324</v>
      </c>
      <c r="E140" s="7">
        <f>E35+E32-E120/2</f>
        <v>300</v>
      </c>
      <c r="F140" s="7">
        <f t="shared" ref="F140:M140" si="73">F35+F32-F120/2</f>
        <v>457.5</v>
      </c>
      <c r="G140" s="7">
        <f t="shared" si="73"/>
        <v>547.5</v>
      </c>
      <c r="H140" s="7">
        <f t="shared" si="73"/>
        <v>562.5</v>
      </c>
      <c r="I140" s="7">
        <f t="shared" si="73"/>
        <v>562.5</v>
      </c>
      <c r="J140" s="7">
        <f t="shared" si="73"/>
        <v>562.5</v>
      </c>
      <c r="K140" s="7">
        <f t="shared" si="73"/>
        <v>524</v>
      </c>
      <c r="L140" s="7">
        <f t="shared" si="73"/>
        <v>524</v>
      </c>
      <c r="M140" s="7">
        <f t="shared" si="73"/>
        <v>524</v>
      </c>
      <c r="O140" s="20" t="s">
        <v>0</v>
      </c>
    </row>
    <row r="141" spans="1:15" ht="15" hidden="1" customHeight="1" outlineLevel="1" x14ac:dyDescent="0.25">
      <c r="B141" s="20" t="s">
        <v>322</v>
      </c>
      <c r="C141" s="21" t="s">
        <v>325</v>
      </c>
      <c r="E141" s="48">
        <f>E114/12*E120^3+E139*(E140-E161)^2</f>
        <v>234154666.66666666</v>
      </c>
      <c r="F141" s="48">
        <f t="shared" ref="F141:M141" si="74">F114/12*F120^3+F139*(F140-F161)^2</f>
        <v>116848666.66666666</v>
      </c>
      <c r="G141" s="48">
        <f t="shared" si="74"/>
        <v>64072666.666666664</v>
      </c>
      <c r="H141" s="48">
        <f t="shared" si="74"/>
        <v>16907041.666666668</v>
      </c>
      <c r="I141" s="48">
        <f t="shared" si="74"/>
        <v>21968299.630318489</v>
      </c>
      <c r="J141" s="48">
        <f t="shared" si="74"/>
        <v>12508394.991143234</v>
      </c>
      <c r="K141" s="48">
        <f t="shared" si="74"/>
        <v>40157525.333333336</v>
      </c>
      <c r="L141" s="48">
        <f t="shared" si="74"/>
        <v>40157525.333333336</v>
      </c>
      <c r="M141" s="48">
        <f t="shared" si="74"/>
        <v>40157525.333333336</v>
      </c>
      <c r="O141" s="20" t="s">
        <v>373</v>
      </c>
    </row>
    <row r="142" spans="1:15" ht="15" hidden="1" customHeight="1" outlineLevel="1" x14ac:dyDescent="0.25">
      <c r="B142" s="20" t="s">
        <v>326</v>
      </c>
      <c r="C142" s="21" t="s">
        <v>327</v>
      </c>
      <c r="E142" s="7">
        <f>E115*E121</f>
        <v>0</v>
      </c>
      <c r="F142" s="7">
        <f t="shared" ref="F142:M142" si="75">F115*F121</f>
        <v>490</v>
      </c>
      <c r="G142" s="7">
        <f t="shared" si="75"/>
        <v>490</v>
      </c>
      <c r="H142" s="7">
        <f t="shared" si="75"/>
        <v>7840</v>
      </c>
      <c r="I142" s="7">
        <f t="shared" si="75"/>
        <v>7840</v>
      </c>
      <c r="J142" s="7">
        <f t="shared" si="75"/>
        <v>7840</v>
      </c>
      <c r="K142" s="7">
        <f t="shared" si="75"/>
        <v>784</v>
      </c>
      <c r="L142" s="7">
        <f t="shared" si="75"/>
        <v>784</v>
      </c>
      <c r="M142" s="7">
        <f t="shared" si="75"/>
        <v>784</v>
      </c>
      <c r="O142" s="20" t="s">
        <v>233</v>
      </c>
    </row>
    <row r="143" spans="1:15" ht="15" hidden="1" customHeight="1" outlineLevel="1" x14ac:dyDescent="0.25">
      <c r="B143" s="20" t="s">
        <v>155</v>
      </c>
      <c r="C143" s="21" t="s">
        <v>328</v>
      </c>
      <c r="E143" s="7">
        <f>E35+E32-E120-E121/2</f>
        <v>20</v>
      </c>
      <c r="F143" s="7">
        <f t="shared" ref="F143:M143" si="76">F35+F32-F120-F121/2</f>
        <v>300</v>
      </c>
      <c r="G143" s="7">
        <f t="shared" si="76"/>
        <v>480</v>
      </c>
      <c r="H143" s="7">
        <f t="shared" si="76"/>
        <v>300</v>
      </c>
      <c r="I143" s="7">
        <f t="shared" si="76"/>
        <v>300</v>
      </c>
      <c r="J143" s="7">
        <f t="shared" si="76"/>
        <v>300</v>
      </c>
      <c r="K143" s="7">
        <f t="shared" si="76"/>
        <v>412</v>
      </c>
      <c r="L143" s="7">
        <f t="shared" si="76"/>
        <v>412</v>
      </c>
      <c r="M143" s="7">
        <f t="shared" si="76"/>
        <v>412</v>
      </c>
      <c r="O143" s="20" t="s">
        <v>0</v>
      </c>
    </row>
    <row r="144" spans="1:15" ht="15" hidden="1" customHeight="1" outlineLevel="1" x14ac:dyDescent="0.25">
      <c r="B144" s="20" t="s">
        <v>329</v>
      </c>
      <c r="C144" s="21" t="s">
        <v>330</v>
      </c>
      <c r="E144" s="48">
        <f>E115/12*E121^3+E142*(E143-E161)^2</f>
        <v>0</v>
      </c>
      <c r="F144" s="48">
        <f t="shared" ref="F144:M144" si="77">F115/12*F121^3+F142*(F143-F161)^2</f>
        <v>200083.33333333334</v>
      </c>
      <c r="G144" s="48">
        <f t="shared" si="77"/>
        <v>16076083.333333334</v>
      </c>
      <c r="H144" s="48">
        <f t="shared" si="77"/>
        <v>156865333.33333331</v>
      </c>
      <c r="I144" s="48">
        <f t="shared" si="77"/>
        <v>167467113.94338751</v>
      </c>
      <c r="J144" s="48">
        <f t="shared" si="77"/>
        <v>167467113.94338751</v>
      </c>
      <c r="K144" s="48">
        <f t="shared" si="77"/>
        <v>10654037.333333334</v>
      </c>
      <c r="L144" s="48">
        <f t="shared" si="77"/>
        <v>10654037.333333334</v>
      </c>
      <c r="M144" s="48">
        <f t="shared" si="77"/>
        <v>10654037.333333334</v>
      </c>
      <c r="O144" s="20" t="s">
        <v>373</v>
      </c>
    </row>
    <row r="145" spans="1:15" ht="15" hidden="1" customHeight="1" outlineLevel="1" x14ac:dyDescent="0.25">
      <c r="B145" s="20" t="s">
        <v>331</v>
      </c>
      <c r="C145" s="21" t="s">
        <v>332</v>
      </c>
      <c r="E145" s="7">
        <f>E116*E122</f>
        <v>0</v>
      </c>
      <c r="F145" s="7">
        <f t="shared" ref="F145:M145" si="78">F116*F122</f>
        <v>3920</v>
      </c>
      <c r="G145" s="7">
        <f t="shared" si="78"/>
        <v>4640</v>
      </c>
      <c r="H145" s="7">
        <f t="shared" si="78"/>
        <v>245</v>
      </c>
      <c r="I145" s="7">
        <f t="shared" si="78"/>
        <v>245</v>
      </c>
      <c r="J145" s="7">
        <f t="shared" si="78"/>
        <v>245</v>
      </c>
      <c r="K145" s="7">
        <f t="shared" si="78"/>
        <v>784</v>
      </c>
      <c r="L145" s="7">
        <f t="shared" si="78"/>
        <v>784</v>
      </c>
      <c r="M145" s="7">
        <f t="shared" si="78"/>
        <v>784</v>
      </c>
      <c r="O145" s="20" t="s">
        <v>233</v>
      </c>
    </row>
    <row r="146" spans="1:15" ht="15" hidden="1" customHeight="1" outlineLevel="1" x14ac:dyDescent="0.25">
      <c r="B146" s="20" t="s">
        <v>333</v>
      </c>
      <c r="C146" s="21" t="s">
        <v>334</v>
      </c>
      <c r="E146" s="7">
        <f>E35+E32-E120-E121-E122/2</f>
        <v>20</v>
      </c>
      <c r="F146" s="7">
        <f t="shared" ref="F146:M146" si="79">F35+F32-F120-F121-F122/2</f>
        <v>142.5</v>
      </c>
      <c r="G146" s="7">
        <f t="shared" si="79"/>
        <v>300</v>
      </c>
      <c r="H146" s="7">
        <f t="shared" si="79"/>
        <v>37.5</v>
      </c>
      <c r="I146" s="7">
        <f t="shared" si="79"/>
        <v>37.5</v>
      </c>
      <c r="J146" s="7">
        <f t="shared" si="79"/>
        <v>37.5</v>
      </c>
      <c r="K146" s="7">
        <f t="shared" si="79"/>
        <v>300</v>
      </c>
      <c r="L146" s="7">
        <f t="shared" si="79"/>
        <v>300</v>
      </c>
      <c r="M146" s="7">
        <f t="shared" si="79"/>
        <v>300</v>
      </c>
      <c r="O146" s="20" t="s">
        <v>0</v>
      </c>
    </row>
    <row r="147" spans="1:15" ht="15" hidden="1" customHeight="1" outlineLevel="1" x14ac:dyDescent="0.25">
      <c r="B147" s="20" t="s">
        <v>335</v>
      </c>
      <c r="C147" s="21" t="s">
        <v>336</v>
      </c>
      <c r="E147" s="48">
        <f>E116/12*E122^3+E145*(E146-E161)^2</f>
        <v>0</v>
      </c>
      <c r="F147" s="48">
        <f t="shared" ref="F147:M147" si="80">F116/12*F122^3+F145*(F146-F161)^2</f>
        <v>116848666.66666666</v>
      </c>
      <c r="G147" s="48">
        <f t="shared" si="80"/>
        <v>32518666.666666664</v>
      </c>
      <c r="H147" s="48">
        <f t="shared" si="80"/>
        <v>16907041.666666668</v>
      </c>
      <c r="I147" s="48">
        <f t="shared" si="80"/>
        <v>12508394.991143234</v>
      </c>
      <c r="J147" s="48">
        <f t="shared" si="80"/>
        <v>21968299.630318489</v>
      </c>
      <c r="K147" s="48">
        <f t="shared" si="80"/>
        <v>819541.33333333337</v>
      </c>
      <c r="L147" s="48">
        <f t="shared" si="80"/>
        <v>819541.33333333337</v>
      </c>
      <c r="M147" s="48">
        <f t="shared" si="80"/>
        <v>819541.33333333337</v>
      </c>
      <c r="O147" s="20" t="s">
        <v>373</v>
      </c>
    </row>
    <row r="148" spans="1:15" ht="15" hidden="1" customHeight="1" outlineLevel="1" x14ac:dyDescent="0.25">
      <c r="B148" s="20" t="s">
        <v>337</v>
      </c>
      <c r="C148" s="21" t="s">
        <v>338</v>
      </c>
      <c r="E148" s="7">
        <f>E117*E123</f>
        <v>0</v>
      </c>
      <c r="F148" s="7">
        <f t="shared" ref="F148:M148" si="81">F117*F123</f>
        <v>0</v>
      </c>
      <c r="G148" s="7">
        <f t="shared" si="81"/>
        <v>490</v>
      </c>
      <c r="H148" s="7">
        <f t="shared" si="81"/>
        <v>0</v>
      </c>
      <c r="I148" s="7">
        <f t="shared" si="81"/>
        <v>0</v>
      </c>
      <c r="J148" s="7">
        <f t="shared" si="81"/>
        <v>0</v>
      </c>
      <c r="K148" s="7">
        <f t="shared" si="81"/>
        <v>784</v>
      </c>
      <c r="L148" s="7">
        <f t="shared" si="81"/>
        <v>784</v>
      </c>
      <c r="M148" s="7">
        <f t="shared" si="81"/>
        <v>784</v>
      </c>
      <c r="O148" s="20" t="s">
        <v>233</v>
      </c>
    </row>
    <row r="149" spans="1:15" ht="15" hidden="1" customHeight="1" outlineLevel="1" x14ac:dyDescent="0.25">
      <c r="B149" s="20" t="s">
        <v>339</v>
      </c>
      <c r="C149" s="21" t="s">
        <v>340</v>
      </c>
      <c r="E149" s="7">
        <f>E35+E32-E120-E121-E122-E123/2</f>
        <v>20</v>
      </c>
      <c r="F149" s="7">
        <f t="shared" ref="F149:M149" si="82">F35+F32-F120-F121-F122-F123/2</f>
        <v>20</v>
      </c>
      <c r="G149" s="7">
        <f t="shared" si="82"/>
        <v>120</v>
      </c>
      <c r="H149" s="7">
        <f t="shared" si="82"/>
        <v>20</v>
      </c>
      <c r="I149" s="7">
        <f t="shared" si="82"/>
        <v>20</v>
      </c>
      <c r="J149" s="7">
        <f t="shared" si="82"/>
        <v>20</v>
      </c>
      <c r="K149" s="7">
        <f t="shared" si="82"/>
        <v>188</v>
      </c>
      <c r="L149" s="7">
        <f t="shared" si="82"/>
        <v>188</v>
      </c>
      <c r="M149" s="7">
        <f t="shared" si="82"/>
        <v>188</v>
      </c>
      <c r="O149" s="20" t="s">
        <v>0</v>
      </c>
    </row>
    <row r="150" spans="1:15" ht="15" hidden="1" customHeight="1" outlineLevel="1" x14ac:dyDescent="0.25">
      <c r="B150" s="20" t="s">
        <v>341</v>
      </c>
      <c r="C150" s="21" t="s">
        <v>342</v>
      </c>
      <c r="E150" s="48">
        <f>E117/12*E123^3+E148*(E149-E161)^2</f>
        <v>0</v>
      </c>
      <c r="F150" s="48">
        <f t="shared" ref="F150:M150" si="83">F117/12*F123^3+F148*(F149-F161)^2</f>
        <v>0</v>
      </c>
      <c r="G150" s="48">
        <f t="shared" si="83"/>
        <v>16076083.333333334</v>
      </c>
      <c r="H150" s="48">
        <f t="shared" si="83"/>
        <v>0</v>
      </c>
      <c r="I150" s="48">
        <f t="shared" si="83"/>
        <v>0</v>
      </c>
      <c r="J150" s="48">
        <f t="shared" si="83"/>
        <v>0</v>
      </c>
      <c r="K150" s="48">
        <f t="shared" si="83"/>
        <v>10654037.333333334</v>
      </c>
      <c r="L150" s="48">
        <f t="shared" si="83"/>
        <v>10654037.333333334</v>
      </c>
      <c r="M150" s="48">
        <f t="shared" si="83"/>
        <v>10654037.333333334</v>
      </c>
      <c r="O150" s="20" t="s">
        <v>373</v>
      </c>
    </row>
    <row r="151" spans="1:15" ht="15" hidden="1" customHeight="1" outlineLevel="1" x14ac:dyDescent="0.25">
      <c r="B151" s="20" t="s">
        <v>343</v>
      </c>
      <c r="C151" s="21" t="s">
        <v>344</v>
      </c>
      <c r="E151" s="7">
        <f>E118*E124</f>
        <v>0</v>
      </c>
      <c r="F151" s="7">
        <f t="shared" ref="F151:M151" si="84">F118*F124</f>
        <v>0</v>
      </c>
      <c r="G151" s="7">
        <f t="shared" si="84"/>
        <v>1040</v>
      </c>
      <c r="H151" s="7">
        <f t="shared" si="84"/>
        <v>0</v>
      </c>
      <c r="I151" s="7">
        <f t="shared" si="84"/>
        <v>0</v>
      </c>
      <c r="J151" s="7">
        <f t="shared" si="84"/>
        <v>0</v>
      </c>
      <c r="K151" s="7">
        <f t="shared" si="84"/>
        <v>784</v>
      </c>
      <c r="L151" s="7">
        <f t="shared" si="84"/>
        <v>784</v>
      </c>
      <c r="M151" s="7">
        <f t="shared" si="84"/>
        <v>784</v>
      </c>
      <c r="O151" s="20" t="s">
        <v>233</v>
      </c>
    </row>
    <row r="152" spans="1:15" ht="15" hidden="1" customHeight="1" outlineLevel="1" x14ac:dyDescent="0.25">
      <c r="B152" s="20" t="s">
        <v>345</v>
      </c>
      <c r="C152" s="21" t="s">
        <v>346</v>
      </c>
      <c r="E152" s="7">
        <f>E35+E32-E120-E121-E122-E123-E124/2</f>
        <v>20</v>
      </c>
      <c r="F152" s="7">
        <f t="shared" ref="F152:M152" si="85">F35+F32-F120-F121-F122-F123-F124/2</f>
        <v>20</v>
      </c>
      <c r="G152" s="7">
        <f t="shared" si="85"/>
        <v>52.5</v>
      </c>
      <c r="H152" s="7">
        <f t="shared" si="85"/>
        <v>20</v>
      </c>
      <c r="I152" s="7">
        <f t="shared" si="85"/>
        <v>20</v>
      </c>
      <c r="J152" s="7">
        <f t="shared" si="85"/>
        <v>20</v>
      </c>
      <c r="K152" s="7">
        <f t="shared" si="85"/>
        <v>76</v>
      </c>
      <c r="L152" s="7">
        <f t="shared" si="85"/>
        <v>76</v>
      </c>
      <c r="M152" s="7">
        <f t="shared" si="85"/>
        <v>76</v>
      </c>
      <c r="O152" s="20" t="s">
        <v>0</v>
      </c>
    </row>
    <row r="153" spans="1:15" ht="15" hidden="1" customHeight="1" outlineLevel="1" x14ac:dyDescent="0.25">
      <c r="B153" s="20" t="s">
        <v>347</v>
      </c>
      <c r="C153" s="21" t="s">
        <v>348</v>
      </c>
      <c r="E153" s="48">
        <f>E118/12*E124^3+E151*(E152-E161)^2</f>
        <v>0</v>
      </c>
      <c r="F153" s="48">
        <f t="shared" ref="F153:M153" si="86">F118/12*F124^3+F151*(F152-F161)^2</f>
        <v>0</v>
      </c>
      <c r="G153" s="48">
        <f t="shared" si="86"/>
        <v>64072666.666666664</v>
      </c>
      <c r="H153" s="48">
        <f t="shared" si="86"/>
        <v>0</v>
      </c>
      <c r="I153" s="48">
        <f t="shared" si="86"/>
        <v>0</v>
      </c>
      <c r="J153" s="48">
        <f t="shared" si="86"/>
        <v>0</v>
      </c>
      <c r="K153" s="48">
        <f t="shared" si="86"/>
        <v>40157525.333333336</v>
      </c>
      <c r="L153" s="48">
        <f t="shared" si="86"/>
        <v>40157525.333333336</v>
      </c>
      <c r="M153" s="48">
        <f t="shared" si="86"/>
        <v>40157525.333333336</v>
      </c>
      <c r="O153" s="20" t="s">
        <v>373</v>
      </c>
    </row>
    <row r="154" spans="1:15" ht="15" hidden="1" customHeight="1" outlineLevel="1" x14ac:dyDescent="0.25">
      <c r="B154" s="20" t="s">
        <v>420</v>
      </c>
      <c r="C154" s="21" t="s">
        <v>423</v>
      </c>
      <c r="E154" s="7">
        <f>E119*E125</f>
        <v>0</v>
      </c>
      <c r="F154" s="7">
        <f t="shared" ref="F154:M154" si="87">F119*F125</f>
        <v>0</v>
      </c>
      <c r="G154" s="7">
        <f t="shared" si="87"/>
        <v>0</v>
      </c>
      <c r="H154" s="7">
        <f t="shared" si="87"/>
        <v>0</v>
      </c>
      <c r="I154" s="7">
        <f t="shared" si="87"/>
        <v>0</v>
      </c>
      <c r="J154" s="7">
        <f t="shared" si="87"/>
        <v>0</v>
      </c>
      <c r="K154" s="7">
        <f t="shared" si="87"/>
        <v>0</v>
      </c>
      <c r="L154" s="7">
        <f t="shared" si="87"/>
        <v>0</v>
      </c>
      <c r="M154" s="7">
        <f t="shared" si="87"/>
        <v>0</v>
      </c>
      <c r="O154" s="20" t="s">
        <v>233</v>
      </c>
    </row>
    <row r="155" spans="1:15" ht="15" hidden="1" customHeight="1" outlineLevel="1" x14ac:dyDescent="0.25">
      <c r="B155" s="20" t="s">
        <v>421</v>
      </c>
      <c r="C155" s="21" t="s">
        <v>424</v>
      </c>
      <c r="E155" s="7">
        <f>E35+E32-E120-E121-E122-E123-E124-E125/2</f>
        <v>20</v>
      </c>
      <c r="F155" s="7">
        <f t="shared" ref="F155:M155" si="88">F35+F32-F120-F121-F122-F123-F124-F125/2</f>
        <v>20</v>
      </c>
      <c r="G155" s="7">
        <f t="shared" si="88"/>
        <v>20</v>
      </c>
      <c r="H155" s="7">
        <f t="shared" si="88"/>
        <v>20</v>
      </c>
      <c r="I155" s="7">
        <f t="shared" si="88"/>
        <v>20</v>
      </c>
      <c r="J155" s="7">
        <f t="shared" si="88"/>
        <v>20</v>
      </c>
      <c r="K155" s="7">
        <f t="shared" si="88"/>
        <v>20</v>
      </c>
      <c r="L155" s="7">
        <f t="shared" si="88"/>
        <v>20</v>
      </c>
      <c r="M155" s="7">
        <f t="shared" si="88"/>
        <v>20</v>
      </c>
      <c r="O155" s="20" t="s">
        <v>0</v>
      </c>
    </row>
    <row r="156" spans="1:15" ht="15" hidden="1" customHeight="1" outlineLevel="1" x14ac:dyDescent="0.25">
      <c r="B156" s="20" t="s">
        <v>422</v>
      </c>
      <c r="C156" s="21" t="s">
        <v>425</v>
      </c>
      <c r="E156" s="48">
        <f>E119/12*E125^3+E154*(E155-E161)^2</f>
        <v>0</v>
      </c>
      <c r="F156" s="48">
        <f t="shared" ref="F156:M156" si="89">F119/12*F125^3+F154*(F155-F161)^2</f>
        <v>0</v>
      </c>
      <c r="G156" s="48">
        <f t="shared" si="89"/>
        <v>0</v>
      </c>
      <c r="H156" s="48">
        <f t="shared" si="89"/>
        <v>0</v>
      </c>
      <c r="I156" s="48">
        <f t="shared" si="89"/>
        <v>0</v>
      </c>
      <c r="J156" s="48">
        <f t="shared" si="89"/>
        <v>0</v>
      </c>
      <c r="K156" s="48">
        <f t="shared" si="89"/>
        <v>0</v>
      </c>
      <c r="L156" s="48">
        <f t="shared" si="89"/>
        <v>0</v>
      </c>
      <c r="M156" s="48">
        <f t="shared" si="89"/>
        <v>0</v>
      </c>
      <c r="O156" s="20" t="s">
        <v>373</v>
      </c>
    </row>
    <row r="157" spans="1:15" ht="15" hidden="1" customHeight="1" outlineLevel="1" x14ac:dyDescent="0.25">
      <c r="C157" s="21"/>
      <c r="E157" s="48"/>
      <c r="F157" s="48"/>
      <c r="G157" s="48"/>
      <c r="H157" s="48"/>
      <c r="I157" s="48"/>
      <c r="J157" s="48"/>
      <c r="K157" s="48"/>
      <c r="L157" s="48"/>
      <c r="M157" s="48"/>
    </row>
    <row r="158" spans="1:15" ht="15" hidden="1" customHeight="1" outlineLevel="1" x14ac:dyDescent="0.25">
      <c r="A158" s="39" t="s">
        <v>27</v>
      </c>
      <c r="C158" s="40"/>
    </row>
    <row r="159" spans="1:15" ht="15" hidden="1" customHeight="1" outlineLevel="1" x14ac:dyDescent="0.25">
      <c r="B159" s="20" t="s">
        <v>71</v>
      </c>
      <c r="C159" s="21" t="s">
        <v>70</v>
      </c>
      <c r="E159" s="7">
        <f>E131+E128+E134</f>
        <v>18960</v>
      </c>
      <c r="F159" s="7">
        <f t="shared" ref="F159:M159" si="90">F131+F128+F134</f>
        <v>18330</v>
      </c>
      <c r="G159" s="7">
        <f t="shared" si="90"/>
        <v>17700</v>
      </c>
      <c r="H159" s="7">
        <f t="shared" si="90"/>
        <v>16395</v>
      </c>
      <c r="I159" s="7">
        <f t="shared" si="90"/>
        <v>14550</v>
      </c>
      <c r="J159" s="7">
        <f t="shared" si="90"/>
        <v>14550</v>
      </c>
      <c r="K159" s="7">
        <f t="shared" si="90"/>
        <v>11985</v>
      </c>
      <c r="L159" s="7">
        <f t="shared" si="90"/>
        <v>8295</v>
      </c>
      <c r="M159" s="7">
        <f t="shared" si="90"/>
        <v>8295</v>
      </c>
      <c r="O159" s="20" t="s">
        <v>233</v>
      </c>
    </row>
    <row r="160" spans="1:15" ht="15" hidden="1" customHeight="1" outlineLevel="1" x14ac:dyDescent="0.25">
      <c r="B160" s="20" t="s">
        <v>73</v>
      </c>
      <c r="C160" s="21" t="s">
        <v>72</v>
      </c>
      <c r="E160" s="48">
        <f>E131*E132+E128*E129+E134*E135</f>
        <v>5688000</v>
      </c>
      <c r="F160" s="48">
        <f t="shared" ref="F160:M160" si="91">F131*F132+F128*F129+F134*F135</f>
        <v>5499000</v>
      </c>
      <c r="G160" s="48">
        <f t="shared" si="91"/>
        <v>5310000</v>
      </c>
      <c r="H160" s="48">
        <f t="shared" si="91"/>
        <v>4918500</v>
      </c>
      <c r="I160" s="48">
        <f t="shared" si="91"/>
        <v>3829950</v>
      </c>
      <c r="J160" s="48">
        <f t="shared" si="91"/>
        <v>4900050</v>
      </c>
      <c r="K160" s="48">
        <f t="shared" si="91"/>
        <v>3595500</v>
      </c>
      <c r="L160" s="48">
        <f t="shared" si="91"/>
        <v>2488500</v>
      </c>
      <c r="M160" s="48">
        <f t="shared" si="91"/>
        <v>2488500</v>
      </c>
      <c r="O160" s="20" t="s">
        <v>234</v>
      </c>
    </row>
    <row r="161" spans="1:16" ht="15" hidden="1" customHeight="1" outlineLevel="1" x14ac:dyDescent="0.25">
      <c r="B161" s="20" t="s">
        <v>62</v>
      </c>
      <c r="C161" s="21" t="s">
        <v>111</v>
      </c>
      <c r="E161" s="7">
        <f>E160/E159</f>
        <v>300</v>
      </c>
      <c r="F161" s="7">
        <f t="shared" ref="F161:M161" si="92">F160/F159</f>
        <v>300</v>
      </c>
      <c r="G161" s="7">
        <f t="shared" si="92"/>
        <v>300</v>
      </c>
      <c r="H161" s="7">
        <f t="shared" si="92"/>
        <v>300</v>
      </c>
      <c r="I161" s="7">
        <f t="shared" si="92"/>
        <v>263.22680412371136</v>
      </c>
      <c r="J161" s="7">
        <f t="shared" si="92"/>
        <v>336.77319587628864</v>
      </c>
      <c r="K161" s="7">
        <f t="shared" si="92"/>
        <v>300</v>
      </c>
      <c r="L161" s="7">
        <f t="shared" si="92"/>
        <v>300</v>
      </c>
      <c r="M161" s="7">
        <f t="shared" si="92"/>
        <v>300</v>
      </c>
      <c r="O161" s="20" t="s">
        <v>0</v>
      </c>
    </row>
    <row r="162" spans="1:16" ht="15" hidden="1" customHeight="1" outlineLevel="1" x14ac:dyDescent="0.25">
      <c r="B162" s="20" t="s">
        <v>75</v>
      </c>
      <c r="C162" s="21" t="s">
        <v>25</v>
      </c>
      <c r="E162" s="7">
        <f>E29-E161</f>
        <v>300</v>
      </c>
      <c r="F162" s="7">
        <f t="shared" ref="F162:M162" si="93">F29-F161</f>
        <v>300</v>
      </c>
      <c r="G162" s="7">
        <f t="shared" si="93"/>
        <v>300</v>
      </c>
      <c r="H162" s="7">
        <f t="shared" si="93"/>
        <v>300</v>
      </c>
      <c r="I162" s="7">
        <f t="shared" si="93"/>
        <v>336.77319587628864</v>
      </c>
      <c r="J162" s="7">
        <f t="shared" si="93"/>
        <v>263.22680412371136</v>
      </c>
      <c r="K162" s="7">
        <f t="shared" si="93"/>
        <v>300</v>
      </c>
      <c r="L162" s="7">
        <f t="shared" si="93"/>
        <v>300</v>
      </c>
      <c r="M162" s="7">
        <f t="shared" si="93"/>
        <v>300</v>
      </c>
      <c r="O162" s="20" t="s">
        <v>0</v>
      </c>
    </row>
    <row r="163" spans="1:16" ht="15" hidden="1" customHeight="1" outlineLevel="1" x14ac:dyDescent="0.25">
      <c r="B163" s="20" t="s">
        <v>74</v>
      </c>
      <c r="C163" s="21" t="s">
        <v>26</v>
      </c>
      <c r="E163" s="7">
        <f>E161</f>
        <v>300</v>
      </c>
      <c r="F163" s="7">
        <f t="shared" ref="F163:M163" si="94">F161</f>
        <v>300</v>
      </c>
      <c r="G163" s="7">
        <f t="shared" si="94"/>
        <v>300</v>
      </c>
      <c r="H163" s="7">
        <f t="shared" si="94"/>
        <v>300</v>
      </c>
      <c r="I163" s="7">
        <f t="shared" si="94"/>
        <v>263.22680412371136</v>
      </c>
      <c r="J163" s="7">
        <f t="shared" si="94"/>
        <v>336.77319587628864</v>
      </c>
      <c r="K163" s="7">
        <f t="shared" si="94"/>
        <v>300</v>
      </c>
      <c r="L163" s="7">
        <f t="shared" si="94"/>
        <v>300</v>
      </c>
      <c r="M163" s="7">
        <f t="shared" si="94"/>
        <v>300</v>
      </c>
      <c r="O163" s="20" t="s">
        <v>0</v>
      </c>
    </row>
    <row r="164" spans="1:16" ht="15" hidden="1" customHeight="1" outlineLevel="1" x14ac:dyDescent="0.25">
      <c r="B164" s="20" t="s">
        <v>32</v>
      </c>
      <c r="C164" s="21" t="s">
        <v>76</v>
      </c>
      <c r="E164" s="48">
        <f>E133+E130+E136</f>
        <v>1075488000</v>
      </c>
      <c r="F164" s="48">
        <f t="shared" ref="F164:M164" si="95">F133+F130+F136</f>
        <v>1075230750</v>
      </c>
      <c r="G164" s="48">
        <f t="shared" si="95"/>
        <v>1034149500</v>
      </c>
      <c r="H164" s="48">
        <f t="shared" si="95"/>
        <v>869174185.546875</v>
      </c>
      <c r="I164" s="48">
        <f t="shared" si="95"/>
        <v>694234009.35889173</v>
      </c>
      <c r="J164" s="48">
        <f t="shared" si="95"/>
        <v>694234009.35889173</v>
      </c>
      <c r="K164" s="48">
        <f t="shared" si="95"/>
        <v>780937435.546875</v>
      </c>
      <c r="L164" s="48">
        <f t="shared" si="95"/>
        <v>470408080.078125</v>
      </c>
      <c r="M164" s="48">
        <f t="shared" si="95"/>
        <v>470408080.078125</v>
      </c>
      <c r="O164" s="20" t="s">
        <v>373</v>
      </c>
    </row>
    <row r="165" spans="1:16" ht="15" hidden="1" customHeight="1" outlineLevel="1" x14ac:dyDescent="0.25">
      <c r="B165" s="20" t="s">
        <v>77</v>
      </c>
      <c r="C165" s="21" t="s">
        <v>12</v>
      </c>
      <c r="E165" s="48">
        <f>E164/E163</f>
        <v>3584960</v>
      </c>
      <c r="F165" s="48">
        <f t="shared" ref="F165:M165" si="96">F164/F163</f>
        <v>3584102.5</v>
      </c>
      <c r="G165" s="48">
        <f t="shared" si="96"/>
        <v>3447165</v>
      </c>
      <c r="H165" s="48">
        <f t="shared" si="96"/>
        <v>2897247.28515625</v>
      </c>
      <c r="I165" s="48">
        <f t="shared" si="96"/>
        <v>2637398.6177814002</v>
      </c>
      <c r="J165" s="48">
        <f t="shared" si="96"/>
        <v>2061428.931576591</v>
      </c>
      <c r="K165" s="48">
        <f t="shared" si="96"/>
        <v>2603124.78515625</v>
      </c>
      <c r="L165" s="48">
        <f t="shared" si="96"/>
        <v>1568026.93359375</v>
      </c>
      <c r="M165" s="48">
        <f t="shared" si="96"/>
        <v>1568026.93359375</v>
      </c>
      <c r="O165" s="20" t="s">
        <v>234</v>
      </c>
    </row>
    <row r="166" spans="1:16" ht="15" hidden="1" customHeight="1" outlineLevel="1" x14ac:dyDescent="0.25">
      <c r="B166" s="20" t="s">
        <v>78</v>
      </c>
      <c r="C166" s="21" t="s">
        <v>10</v>
      </c>
      <c r="E166" s="48">
        <f>E164/E162</f>
        <v>3584960</v>
      </c>
      <c r="F166" s="48">
        <f t="shared" ref="F166:M166" si="97">F164/F162</f>
        <v>3584102.5</v>
      </c>
      <c r="G166" s="48">
        <f t="shared" si="97"/>
        <v>3447165</v>
      </c>
      <c r="H166" s="48">
        <f t="shared" si="97"/>
        <v>2897247.28515625</v>
      </c>
      <c r="I166" s="48">
        <f t="shared" si="97"/>
        <v>2061428.931576591</v>
      </c>
      <c r="J166" s="48">
        <f t="shared" si="97"/>
        <v>2637398.6177814002</v>
      </c>
      <c r="K166" s="48">
        <f t="shared" si="97"/>
        <v>2603124.78515625</v>
      </c>
      <c r="L166" s="48">
        <f t="shared" si="97"/>
        <v>1568026.93359375</v>
      </c>
      <c r="M166" s="48">
        <f t="shared" si="97"/>
        <v>1568026.93359375</v>
      </c>
      <c r="O166" s="20" t="s">
        <v>234</v>
      </c>
    </row>
    <row r="167" spans="1:16" ht="15" hidden="1" customHeight="1" outlineLevel="1" x14ac:dyDescent="0.25">
      <c r="B167" s="20" t="s">
        <v>318</v>
      </c>
      <c r="C167" s="21" t="s">
        <v>319</v>
      </c>
      <c r="E167" s="45">
        <f>IF(E131+E154+E151+E148+E145+E142&lt;E139+E128,1,
IF(E131+E154+E151+E148+E145&lt;E142+E139+E128,2,
IF(E131+E154+E151+E148&lt;E145+E142+E139+E128,3,
IF(E131+E154+E151&lt;E148+E145+E142+E139+E128,4,
IF(E131+E154&lt;E151+E148+E145+E142+E139+E128,5,6)))))</f>
        <v>1</v>
      </c>
      <c r="F167" s="45">
        <f t="shared" ref="F167:M167" si="98">IF(F131+F154+F151+F148+F145+F142&lt;F139+F128,1,
IF(F131+F154+F151+F148+F145&lt;F142+F139+F128,2,
IF(F131+F154+F151+F148&lt;F145+F142+F139+F128,3,
IF(F131+F154+F151&lt;F148+F145+F142+F139+F128,4,
IF(F131+F154&lt;F151+F148+F145+F142+F139+F128,5,6)))))</f>
        <v>2</v>
      </c>
      <c r="G167" s="45">
        <f t="shared" si="98"/>
        <v>3</v>
      </c>
      <c r="H167" s="45">
        <f t="shared" si="98"/>
        <v>2</v>
      </c>
      <c r="I167" s="45">
        <f t="shared" si="98"/>
        <v>2</v>
      </c>
      <c r="J167" s="45">
        <f t="shared" si="98"/>
        <v>2</v>
      </c>
      <c r="K167" s="45">
        <f t="shared" si="98"/>
        <v>3</v>
      </c>
      <c r="L167" s="45">
        <f t="shared" si="98"/>
        <v>3</v>
      </c>
      <c r="M167" s="45">
        <f t="shared" si="98"/>
        <v>3</v>
      </c>
    </row>
    <row r="168" spans="1:16" ht="15" hidden="1" customHeight="1" outlineLevel="1" x14ac:dyDescent="0.3">
      <c r="B168" s="20" t="s">
        <v>64</v>
      </c>
      <c r="C168" s="21" t="s">
        <v>375</v>
      </c>
      <c r="E168" s="45">
        <f>IF(E167=1,(E128-E131-E154-E151-E148-E145-E142)/2/E114+E140,
IF(E167=2,(E128-E131-E154-E151-E148-E145+E139)/2/E115+E143,
IF(E167=3,(E128-E131-E154-E151-E148+E142+E139)/2/E116+E146,
IF(E167=4,(E128-E131-E154-E151+E145+E142+E139)/2/E117+E149,
IF(E167=5,(E128-E131-E154+E148+E145+E142+E139)/2/E118+E152,
IF(E167=6,(E128-E131+E151+E148+E145+E142+E139)/2/E119+E155,))))))</f>
        <v>300</v>
      </c>
      <c r="F168" s="45">
        <f t="shared" ref="F168:M168" si="99">IF(F167=1,(F128-F131-F154-F151-F148-F145-F142)/2/F114+F140,
IF(F167=2,(F128-F131-F154-F151-F148-F145+F139)/2/F115+F143,
IF(F167=3,(F128-F131-F154-F151-F148+F142+F139)/2/F116+F146,
IF(F167=4,(F128-F131-F154-F151+F145+F142+F139)/2/F117+F149,
IF(F167=5,(F128-F131-F154+F148+F145+F142+F139)/2/F118+F152,
IF(F167=6,(F128-F131+F151+F148+F145+F142+F139)/2/F119+F155,))))))</f>
        <v>300</v>
      </c>
      <c r="G168" s="45">
        <f t="shared" si="99"/>
        <v>300</v>
      </c>
      <c r="H168" s="45">
        <f t="shared" si="99"/>
        <v>300</v>
      </c>
      <c r="I168" s="45">
        <f t="shared" si="99"/>
        <v>242.34375</v>
      </c>
      <c r="J168" s="45">
        <f t="shared" si="99"/>
        <v>357.65625</v>
      </c>
      <c r="K168" s="45">
        <f t="shared" si="99"/>
        <v>300</v>
      </c>
      <c r="L168" s="45">
        <f t="shared" si="99"/>
        <v>300</v>
      </c>
      <c r="M168" s="45">
        <f t="shared" si="99"/>
        <v>300</v>
      </c>
      <c r="O168" s="20" t="s">
        <v>0</v>
      </c>
      <c r="P168" s="20" t="s">
        <v>159</v>
      </c>
    </row>
    <row r="169" spans="1:16" ht="15" hidden="1" customHeight="1" outlineLevel="1" x14ac:dyDescent="0.25">
      <c r="B169" s="20" t="s">
        <v>63</v>
      </c>
      <c r="C169" s="21" t="s">
        <v>80</v>
      </c>
      <c r="E169" s="56">
        <f>IF(E167=1,E131*(E168-E132)+E128*(E129-E168)+E114*(E140+E120/2-E168)^2/2+E114*(E168-E140+E120/2)^2/2+E142*(E168-E143)+E145*(E168-E146)+E148*(E168-E149)+E151*(E168-E152)+E154*(E168-E155),
IF(E167=2,E131*(E168-E132)+E128*(E129-E168)+E115*(E143+E121/2-E168)^2/2+E115*(E168-E143+E121/2)^2/2+E139*(E140-E168)+E145*(E168-E146)+E148*(E168-E149)+E151*(E168-E152)+E154*(E168-E155),
IF(E167=3,E131*(E168-E132)+E128*(E129-E168)+E116*(E146+E122/2-E168)^2/2+E116*(E168-E146+E122/2)^2/2+E139*(E140-E168)+E142*(E143-E168)+E148*(E168-E149)+E151*(E168-E152)+E154*(E168-E155),
IF(E167=4,E131*(E168-E132)+E128*(E129-E168)+E117*(E149+E123/2-E168)^2/2+E117*(E168-E149+E123/2)^2/2+E139*(E140-E168)+E142*(E143-E168)+E145*(E146-E168)+E151*(E168-E152)+E154*(E168-E155),
IF(E167=5,E131*(E168-E132)+E128*(E129-E168)+E118*(E152+E124/2-E168)^2/2+E118*(E168-E152+E124/2)^2/2+E139*(E140-E168)+E142*(E143-E168)+E145*(E146-E168)+E148*(E149-E168)+E154*(E168-E155),
IF(E167=6,E131*(E168-E132)+E128*(E129-E168)+E119*(E155+E125/2-E168)^2/2+E119*(E168-E155+E125/2)^2/2+E139*(E140-E168)+E142*(E143-E168)+E145*(E146-E168)+E148*(E149-E168)+E151*(E168-E152)))))))</f>
        <v>4154400</v>
      </c>
      <c r="F169" s="56">
        <f t="shared" ref="F169:M169" si="100">IF(F167=1,F131*(F168-F132)+F128*(F129-F168)+F114*(F140+F120/2-F168)^2/2+F114*(F168-F140+F120/2)^2/2+F142*(F168-F143)+F145*(F168-F146)+F148*(F168-F149)+F151*(F168-F152)+F154*(F168-F155),
IF(F167=2,F131*(F168-F132)+F128*(F129-F168)+F115*(F143+F121/2-F168)^2/2+F115*(F168-F143+F121/2)^2/2+F139*(F140-F168)+F145*(F168-F146)+F148*(F168-F149)+F151*(F168-F152)+F154*(F168-F155),
IF(F167=3,F131*(F168-F132)+F128*(F129-F168)+F116*(F146+F122/2-F168)^2/2+F116*(F168-F146+F122/2)^2/2+F139*(F140-F168)+F142*(F143-F168)+F148*(F168-F149)+F151*(F168-F152)+F154*(F168-F155),
IF(F167=4,F131*(F168-F132)+F128*(F129-F168)+F117*(F149+F123/2-F168)^2/2+F117*(F168-F149+F123/2)^2/2+F139*(F140-F168)+F142*(F143-F168)+F145*(F146-F168)+F151*(F168-F152)+F154*(F168-F155),
IF(F167=5,F131*(F168-F132)+F128*(F129-F168)+F118*(F152+F124/2-F168)^2/2+F118*(F168-F152+F124/2)^2/2+F139*(F140-F168)+F142*(F143-F168)+F145*(F146-F168)+F148*(F149-F168)+F154*(F168-F155),
IF(F167=6,F131*(F168-F132)+F128*(F129-F168)+F119*(F155+F125/2-F168)^2/2+F119*(F168-F155+F125/2)^2/2+F139*(F140-F168)+F142*(F143-F168)+F145*(F146-F168)+F148*(F149-F168)+F151*(F168-F152)))))))</f>
        <v>4143375</v>
      </c>
      <c r="G169" s="56">
        <f t="shared" si="100"/>
        <v>3927600</v>
      </c>
      <c r="H169" s="56">
        <f t="shared" si="100"/>
        <v>3427875</v>
      </c>
      <c r="I169" s="56">
        <f t="shared" si="100"/>
        <v>2839637.109375</v>
      </c>
      <c r="J169" s="56">
        <f t="shared" si="100"/>
        <v>2839637.109375</v>
      </c>
      <c r="K169" s="56">
        <f t="shared" si="100"/>
        <v>2887650</v>
      </c>
      <c r="L169" s="56">
        <f t="shared" si="100"/>
        <v>1817550</v>
      </c>
      <c r="M169" s="56">
        <f t="shared" si="100"/>
        <v>1817550</v>
      </c>
      <c r="O169" s="20" t="s">
        <v>234</v>
      </c>
      <c r="P169" s="20" t="s">
        <v>159</v>
      </c>
    </row>
    <row r="170" spans="1:16" ht="15" customHeight="1" collapsed="1" x14ac:dyDescent="0.3">
      <c r="A170" s="37"/>
      <c r="C170" s="21"/>
    </row>
    <row r="171" spans="1:16" ht="15" customHeight="1" x14ac:dyDescent="0.3">
      <c r="A171" s="37"/>
      <c r="C171" s="21"/>
    </row>
    <row r="172" spans="1:16" ht="15" customHeight="1" x14ac:dyDescent="0.3">
      <c r="A172" s="37" t="s">
        <v>460</v>
      </c>
      <c r="C172" s="21"/>
      <c r="P172" s="20" t="s">
        <v>504</v>
      </c>
    </row>
    <row r="173" spans="1:16" ht="15" hidden="1" customHeight="1" outlineLevel="1" x14ac:dyDescent="0.25">
      <c r="C173" s="21"/>
    </row>
    <row r="174" spans="1:16" ht="15" hidden="1" customHeight="1" outlineLevel="1" x14ac:dyDescent="0.25">
      <c r="A174" s="39" t="s">
        <v>429</v>
      </c>
      <c r="C174" s="21"/>
      <c r="P174" s="20" t="s">
        <v>504</v>
      </c>
    </row>
    <row r="175" spans="1:16" ht="15" hidden="1" customHeight="1" outlineLevel="1" x14ac:dyDescent="0.25">
      <c r="B175" s="20" t="s">
        <v>288</v>
      </c>
      <c r="C175" s="21" t="s">
        <v>308</v>
      </c>
      <c r="E175" s="63">
        <v>1</v>
      </c>
      <c r="F175" s="63">
        <v>1</v>
      </c>
      <c r="G175" s="63">
        <v>1</v>
      </c>
      <c r="H175" s="63">
        <f>MIN(1,(H24/H22)*H75/(H75-H30))</f>
        <v>0.46875</v>
      </c>
      <c r="I175" s="63">
        <f>MIN(1,(I24/I22)*I75/(I75-I30/2))</f>
        <v>0.45258620689655171</v>
      </c>
      <c r="J175" s="63">
        <f>MIN(1,(J24/J22)*J75/(J75-J30))</f>
        <v>0.46875</v>
      </c>
      <c r="K175" s="63">
        <f>MIN(1,(K24/K22)*K75/(K75-K30))</f>
        <v>0.46875</v>
      </c>
      <c r="L175" s="63">
        <f>MIN(1,(L24/L22)*L75/(L75-L30/2))</f>
        <v>0.45258620689655171</v>
      </c>
      <c r="M175" s="63">
        <f>MIN(1,(M24/M22)*M75/(M75-M30/2))</f>
        <v>0.45258620689655171</v>
      </c>
    </row>
    <row r="176" spans="1:16" ht="15" hidden="1" customHeight="1" outlineLevel="1" x14ac:dyDescent="0.25">
      <c r="B176" s="20" t="s">
        <v>289</v>
      </c>
      <c r="C176" s="21" t="s">
        <v>308</v>
      </c>
      <c r="E176" s="63">
        <v>1</v>
      </c>
      <c r="F176" s="63">
        <v>1</v>
      </c>
      <c r="G176" s="63">
        <v>1</v>
      </c>
      <c r="H176" s="63">
        <f>MIN(1,(H24/H22)*H76/(H76-H32))</f>
        <v>0.46875</v>
      </c>
      <c r="I176" s="63">
        <f>MIN(1,(I24/I22)*I76/(I76-I32))</f>
        <v>0.46875</v>
      </c>
      <c r="J176" s="63">
        <f>MIN(1,(J24/J22)*J76/(J76-J32/2))</f>
        <v>0.45258620689655171</v>
      </c>
      <c r="K176" s="63">
        <f>MIN(1,(K24/K22)*K76/(K76-K32))</f>
        <v>0.46875</v>
      </c>
      <c r="L176" s="63">
        <f>MIN(1,(L24/L22)*L76/(L76-L32/2))</f>
        <v>0.45258620689655171</v>
      </c>
      <c r="M176" s="63">
        <f>MIN(1,(M24/M22)*M76/(M76-M32/2))</f>
        <v>0.45258620689655171</v>
      </c>
    </row>
    <row r="177" spans="1:16" ht="15" hidden="1" customHeight="1" outlineLevel="1" x14ac:dyDescent="0.25">
      <c r="B177" s="20" t="s">
        <v>290</v>
      </c>
      <c r="C177" s="21" t="s">
        <v>308</v>
      </c>
      <c r="E177" s="63">
        <v>1</v>
      </c>
      <c r="F177" s="63">
        <v>1</v>
      </c>
      <c r="G177" s="63">
        <v>1</v>
      </c>
      <c r="H177" s="63">
        <f>MIN(1,(H24/H22)*H75/(H75-H30))</f>
        <v>0.46875</v>
      </c>
      <c r="I177" s="63">
        <f>MIN(1,(I24/I22)*I75/(I75-I30))</f>
        <v>0.46875</v>
      </c>
      <c r="J177" s="63">
        <f>MIN(1,(J24/J22)*J75/(J75-J30))</f>
        <v>0.46875</v>
      </c>
      <c r="K177" s="63">
        <f>MIN(1,(K24/K22)*IF(K32+9/10*K35=K76,100,IF(K32+9/10*K35&gt;K76,K75/(K32+9/10*K35-K76),K76/(K76-(K32+9/10*K35)))))</f>
        <v>0.5859375</v>
      </c>
      <c r="L177" s="63">
        <f>MIN(1,(L24/L22)*IF(L32+9/10*L35=L76,100,IF(L32+9/10*L35&gt;L76,L75/(L32+9/10*L35-L76),L76/(L76-(L32+9/10*L35)))))</f>
        <v>0.5859375</v>
      </c>
      <c r="M177" s="63">
        <f>MIN(1,(M24/M22)*IF(M32+9/10*M35=M76,100,IF(M32+9/10*M35&gt;M76,M75/(M32+9/10*M35-M76),M76/(M76-(M32+9/10*M35)))))</f>
        <v>0.5859375</v>
      </c>
    </row>
    <row r="178" spans="1:16" ht="15" hidden="1" customHeight="1" outlineLevel="1" x14ac:dyDescent="0.25">
      <c r="B178" s="20" t="s">
        <v>291</v>
      </c>
      <c r="C178" s="21" t="s">
        <v>308</v>
      </c>
      <c r="E178" s="64">
        <v>0</v>
      </c>
      <c r="F178" s="63">
        <f>MIN(1,(F24/F22)*IF(F32+F35/2=F76,100,IF(F32+F35/2&gt;F76,F75/(F32+F35/2-F76),F76/(F76-(F32+F35/2)))))</f>
        <v>1</v>
      </c>
      <c r="G178" s="63">
        <f>MIN(1,(G24/G22)*G75/(G75-G30-G45))</f>
        <v>0.72916666666666663</v>
      </c>
      <c r="H178" s="63">
        <v>1</v>
      </c>
      <c r="I178" s="63">
        <v>1</v>
      </c>
      <c r="J178" s="63">
        <v>1</v>
      </c>
      <c r="K178" s="63">
        <f>MIN(1,(K24/K22)*IF(K32+7/10*K35=K76,100,IF(K32+7/10*K35&gt;K76,K75/(K32+7/10*K35-K76),K76/(K76-(K32+7/10*K35)))))</f>
        <v>1</v>
      </c>
      <c r="L178" s="63">
        <f>MIN(1,(L24/L22)*IF(L32+7/10*L35=L76,100,IF(L32+7/10*L35&gt;L76,L75/(L32+7/10*L35-L76),L76/(L76-(L32+7/10*L35)))))</f>
        <v>1</v>
      </c>
      <c r="M178" s="63">
        <f>MIN(1,(M24/M22)*IF(M32+7/10*M35=M76,100,IF(M32+7/10*M35&gt;M76,M75/(M32+7/10*M35-M76),M76/(M76-(M32+7/10*M35)))))</f>
        <v>1</v>
      </c>
    </row>
    <row r="179" spans="1:16" ht="15" hidden="1" customHeight="1" outlineLevel="1" x14ac:dyDescent="0.25">
      <c r="B179" s="20" t="s">
        <v>292</v>
      </c>
      <c r="C179" s="21" t="s">
        <v>308</v>
      </c>
      <c r="E179" s="64">
        <v>0</v>
      </c>
      <c r="F179" s="63">
        <v>1</v>
      </c>
      <c r="G179" s="63">
        <v>1</v>
      </c>
      <c r="H179" s="63">
        <f>MIN(1,(H24/H22)*H76/(H76-H32))</f>
        <v>0.46875</v>
      </c>
      <c r="I179" s="63">
        <f>MIN(1,(I24/I22)*I76/(I76-I32))</f>
        <v>0.46875</v>
      </c>
      <c r="J179" s="63">
        <f>MIN(1,(J24/J22)*J76/(J76-J32))</f>
        <v>0.46875</v>
      </c>
      <c r="K179" s="63">
        <f>MIN(1,(K24/K22)*IF(K32+5/10*K35=K76,100,IF(K32+5/10*K35&gt;K76,K75/(K32+5/10*K35-K76),K76/(K76-(K32+5/10*K35)))))</f>
        <v>1</v>
      </c>
      <c r="L179" s="63">
        <f>MIN(1,(L24/L22)*IF(L32+5/10*L35=L76,100,IF(L32+5/10*L35&gt;L76,L75/(L32+5/10*L35-L76),L76/(L76-(L32+5/10*L35)))))</f>
        <v>1</v>
      </c>
      <c r="M179" s="63">
        <f>MIN(1,(M24/M22)*IF(M32+5/10*M35=M76,100,IF(M32+5/10*M35&gt;M76,M75/(M32+5/10*M35-M76),M76/(M76-(M32+5/10*M35)))))</f>
        <v>1</v>
      </c>
    </row>
    <row r="180" spans="1:16" ht="15" hidden="1" customHeight="1" outlineLevel="1" x14ac:dyDescent="0.25">
      <c r="B180" s="20" t="s">
        <v>293</v>
      </c>
      <c r="C180" s="21" t="s">
        <v>308</v>
      </c>
      <c r="E180" s="64">
        <v>0</v>
      </c>
      <c r="F180" s="63">
        <v>0</v>
      </c>
      <c r="G180" s="63">
        <f>MIN(1,(G24/G22)*G76/(G76-G32-G45))</f>
        <v>0.72916666666666663</v>
      </c>
      <c r="H180" s="63">
        <v>0</v>
      </c>
      <c r="I180" s="63">
        <v>0</v>
      </c>
      <c r="J180" s="63">
        <v>0</v>
      </c>
      <c r="K180" s="63">
        <f>MIN(1,(K24/K22)*IF(K32+3/10*K35=K76,100,IF(K32+3/10*K35&gt;K76,K75/(K32+3/10*K35-K76),K76/(K76-(K32+3/10*K35)))))</f>
        <v>1</v>
      </c>
      <c r="L180" s="63">
        <f>MIN(1,(L24/L22)*IF(L32+3/10*L35=L76,100,IF(L32+3/10*L35&gt;L76,L75/(L32+3/10*L35-L76),L76/(L76-(L32+3/10*L35)))))</f>
        <v>1</v>
      </c>
      <c r="M180" s="63">
        <f>MIN(1,(M24/M22)*IF(M32+3/10*M35=M76,100,IF(M32+3/10*M35&gt;M76,M75/(M32+3/10*M35-M76),M76/(M76-(M32+3/10*M35)))))</f>
        <v>1</v>
      </c>
    </row>
    <row r="181" spans="1:16" ht="15" hidden="1" customHeight="1" outlineLevel="1" x14ac:dyDescent="0.25">
      <c r="B181" s="20" t="s">
        <v>294</v>
      </c>
      <c r="C181" s="21" t="s">
        <v>308</v>
      </c>
      <c r="E181" s="64">
        <v>0</v>
      </c>
      <c r="F181" s="63">
        <v>0</v>
      </c>
      <c r="G181" s="63">
        <v>1</v>
      </c>
      <c r="H181" s="63">
        <v>0</v>
      </c>
      <c r="I181" s="63">
        <v>0</v>
      </c>
      <c r="J181" s="63">
        <v>0</v>
      </c>
      <c r="K181" s="63">
        <f>MIN(1,(K24/K22)*IF(K32+1/10*K35=K76,100,IF(K32+1/10*K35&gt;K76,K75/(K32+1/10*K35-K76),K76/(K76-(K32+1/10*K35)))))</f>
        <v>0.5859375</v>
      </c>
      <c r="L181" s="63">
        <f>MIN(1,(L24/L22)*IF(L32+1/10*L35=L76,100,IF(L32+1/10*L35&gt;L76,L75/(L32+1/10*L35-L76),L76/(L76-(L32+1/10*L35)))))</f>
        <v>0.5859375</v>
      </c>
      <c r="M181" s="63">
        <f>MIN(1,(M24/M22)*IF(M32+1/10*M35=M76,100,IF(M32+1/10*M35&gt;M76,M75/(M32+1/10*M35-M76),M76/(M76-(M32+1/10*M35)))))</f>
        <v>0.5859375</v>
      </c>
    </row>
    <row r="182" spans="1:16" ht="15" hidden="1" customHeight="1" outlineLevel="1" x14ac:dyDescent="0.25">
      <c r="B182" s="20" t="s">
        <v>282</v>
      </c>
      <c r="C182" s="21" t="s">
        <v>306</v>
      </c>
      <c r="E182" s="65">
        <f t="shared" ref="E182:M182" si="101">E120</f>
        <v>560</v>
      </c>
      <c r="F182" s="65">
        <f t="shared" si="101"/>
        <v>245</v>
      </c>
      <c r="G182" s="65">
        <f t="shared" si="101"/>
        <v>65</v>
      </c>
      <c r="H182" s="65">
        <f t="shared" si="101"/>
        <v>35</v>
      </c>
      <c r="I182" s="65">
        <f t="shared" si="101"/>
        <v>35</v>
      </c>
      <c r="J182" s="65">
        <f t="shared" si="101"/>
        <v>35</v>
      </c>
      <c r="K182" s="65">
        <f t="shared" si="101"/>
        <v>112</v>
      </c>
      <c r="L182" s="65">
        <f t="shared" si="101"/>
        <v>112</v>
      </c>
      <c r="M182" s="65">
        <f t="shared" si="101"/>
        <v>112</v>
      </c>
      <c r="O182" s="20" t="s">
        <v>0</v>
      </c>
    </row>
    <row r="183" spans="1:16" ht="15" hidden="1" customHeight="1" outlineLevel="1" x14ac:dyDescent="0.25">
      <c r="B183" s="20" t="s">
        <v>283</v>
      </c>
      <c r="C183" s="21" t="s">
        <v>306</v>
      </c>
      <c r="E183" s="65">
        <f t="shared" ref="E183:M183" si="102">E121</f>
        <v>0</v>
      </c>
      <c r="F183" s="65">
        <f t="shared" si="102"/>
        <v>70</v>
      </c>
      <c r="G183" s="65">
        <f t="shared" si="102"/>
        <v>70</v>
      </c>
      <c r="H183" s="65">
        <f t="shared" si="102"/>
        <v>490</v>
      </c>
      <c r="I183" s="65">
        <f t="shared" si="102"/>
        <v>490</v>
      </c>
      <c r="J183" s="65">
        <f t="shared" si="102"/>
        <v>490</v>
      </c>
      <c r="K183" s="65">
        <f t="shared" si="102"/>
        <v>112</v>
      </c>
      <c r="L183" s="65">
        <f t="shared" si="102"/>
        <v>112</v>
      </c>
      <c r="M183" s="65">
        <f t="shared" si="102"/>
        <v>112</v>
      </c>
      <c r="O183" s="20" t="s">
        <v>0</v>
      </c>
    </row>
    <row r="184" spans="1:16" ht="15" hidden="1" customHeight="1" outlineLevel="1" x14ac:dyDescent="0.25">
      <c r="B184" s="20" t="s">
        <v>284</v>
      </c>
      <c r="C184" s="21" t="s">
        <v>306</v>
      </c>
      <c r="E184" s="65">
        <f t="shared" ref="E184:M184" si="103">E122</f>
        <v>0</v>
      </c>
      <c r="F184" s="65">
        <f t="shared" si="103"/>
        <v>245</v>
      </c>
      <c r="G184" s="65">
        <f t="shared" si="103"/>
        <v>290</v>
      </c>
      <c r="H184" s="65">
        <f t="shared" si="103"/>
        <v>35</v>
      </c>
      <c r="I184" s="65">
        <f t="shared" si="103"/>
        <v>35</v>
      </c>
      <c r="J184" s="65">
        <f t="shared" si="103"/>
        <v>35</v>
      </c>
      <c r="K184" s="65">
        <f t="shared" si="103"/>
        <v>112</v>
      </c>
      <c r="L184" s="65">
        <f t="shared" si="103"/>
        <v>112</v>
      </c>
      <c r="M184" s="65">
        <f t="shared" si="103"/>
        <v>112</v>
      </c>
      <c r="O184" s="20" t="s">
        <v>0</v>
      </c>
    </row>
    <row r="185" spans="1:16" ht="15" hidden="1" customHeight="1" outlineLevel="1" x14ac:dyDescent="0.25">
      <c r="B185" s="20" t="s">
        <v>285</v>
      </c>
      <c r="C185" s="21" t="s">
        <v>306</v>
      </c>
      <c r="E185" s="65">
        <f t="shared" ref="E185:M185" si="104">E123</f>
        <v>0</v>
      </c>
      <c r="F185" s="65">
        <f t="shared" si="104"/>
        <v>0</v>
      </c>
      <c r="G185" s="65">
        <f t="shared" si="104"/>
        <v>70</v>
      </c>
      <c r="H185" s="65">
        <f t="shared" si="104"/>
        <v>0</v>
      </c>
      <c r="I185" s="65">
        <f t="shared" si="104"/>
        <v>0</v>
      </c>
      <c r="J185" s="65">
        <f t="shared" si="104"/>
        <v>0</v>
      </c>
      <c r="K185" s="65">
        <f t="shared" si="104"/>
        <v>112</v>
      </c>
      <c r="L185" s="65">
        <f t="shared" si="104"/>
        <v>112</v>
      </c>
      <c r="M185" s="65">
        <f t="shared" si="104"/>
        <v>112</v>
      </c>
      <c r="O185" s="20" t="s">
        <v>0</v>
      </c>
    </row>
    <row r="186" spans="1:16" ht="15" hidden="1" customHeight="1" outlineLevel="1" x14ac:dyDescent="0.25">
      <c r="B186" s="20" t="s">
        <v>286</v>
      </c>
      <c r="C186" s="21" t="s">
        <v>306</v>
      </c>
      <c r="E186" s="65">
        <f t="shared" ref="E186:M186" si="105">E124</f>
        <v>0</v>
      </c>
      <c r="F186" s="65">
        <f t="shared" si="105"/>
        <v>0</v>
      </c>
      <c r="G186" s="65">
        <f t="shared" si="105"/>
        <v>65</v>
      </c>
      <c r="H186" s="65">
        <f t="shared" si="105"/>
        <v>0</v>
      </c>
      <c r="I186" s="65">
        <f t="shared" si="105"/>
        <v>0</v>
      </c>
      <c r="J186" s="65">
        <f t="shared" si="105"/>
        <v>0</v>
      </c>
      <c r="K186" s="65">
        <f t="shared" si="105"/>
        <v>112</v>
      </c>
      <c r="L186" s="65">
        <f t="shared" si="105"/>
        <v>112</v>
      </c>
      <c r="M186" s="65">
        <f t="shared" si="105"/>
        <v>112</v>
      </c>
      <c r="O186" s="20" t="s">
        <v>0</v>
      </c>
    </row>
    <row r="187" spans="1:16" ht="15" hidden="1" customHeight="1" outlineLevel="1" x14ac:dyDescent="0.25">
      <c r="C187" s="21"/>
    </row>
    <row r="188" spans="1:16" ht="15" hidden="1" customHeight="1" outlineLevel="1" x14ac:dyDescent="0.25">
      <c r="A188" s="39" t="s">
        <v>447</v>
      </c>
      <c r="C188" s="40"/>
      <c r="P188" s="20" t="s">
        <v>504</v>
      </c>
    </row>
    <row r="189" spans="1:16" ht="15" hidden="1" customHeight="1" outlineLevel="1" x14ac:dyDescent="0.25">
      <c r="B189" s="20" t="s">
        <v>288</v>
      </c>
      <c r="C189" s="21" t="s">
        <v>308</v>
      </c>
      <c r="E189" s="63">
        <f t="shared" ref="E189:M189" si="106">E175</f>
        <v>1</v>
      </c>
      <c r="F189" s="63">
        <f t="shared" si="106"/>
        <v>1</v>
      </c>
      <c r="G189" s="63">
        <f t="shared" si="106"/>
        <v>1</v>
      </c>
      <c r="H189" s="63">
        <f t="shared" si="106"/>
        <v>0.46875</v>
      </c>
      <c r="I189" s="63">
        <f t="shared" si="106"/>
        <v>0.45258620689655171</v>
      </c>
      <c r="J189" s="63">
        <f t="shared" si="106"/>
        <v>0.46875</v>
      </c>
      <c r="K189" s="63">
        <f t="shared" si="106"/>
        <v>0.46875</v>
      </c>
      <c r="L189" s="63">
        <f t="shared" si="106"/>
        <v>0.45258620689655171</v>
      </c>
      <c r="M189" s="63">
        <f t="shared" si="106"/>
        <v>0.45258620689655171</v>
      </c>
    </row>
    <row r="190" spans="1:16" ht="15" hidden="1" customHeight="1" outlineLevel="1" x14ac:dyDescent="0.25">
      <c r="B190" s="20" t="s">
        <v>289</v>
      </c>
      <c r="C190" s="21" t="s">
        <v>308</v>
      </c>
      <c r="E190" s="63">
        <f t="shared" ref="E190:M190" si="107">E176</f>
        <v>1</v>
      </c>
      <c r="F190" s="63">
        <f t="shared" si="107"/>
        <v>1</v>
      </c>
      <c r="G190" s="63">
        <f t="shared" si="107"/>
        <v>1</v>
      </c>
      <c r="H190" s="63">
        <f t="shared" si="107"/>
        <v>0.46875</v>
      </c>
      <c r="I190" s="63">
        <f t="shared" si="107"/>
        <v>0.46875</v>
      </c>
      <c r="J190" s="63">
        <f t="shared" si="107"/>
        <v>0.45258620689655171</v>
      </c>
      <c r="K190" s="63">
        <f t="shared" si="107"/>
        <v>0.46875</v>
      </c>
      <c r="L190" s="63">
        <f t="shared" si="107"/>
        <v>0.45258620689655171</v>
      </c>
      <c r="M190" s="63">
        <f t="shared" si="107"/>
        <v>0.45258620689655171</v>
      </c>
    </row>
    <row r="191" spans="1:16" ht="15" hidden="1" customHeight="1" outlineLevel="1" x14ac:dyDescent="0.25">
      <c r="B191" s="20" t="s">
        <v>290</v>
      </c>
      <c r="C191" s="21" t="s">
        <v>308</v>
      </c>
      <c r="E191" s="63">
        <f t="shared" ref="E191:E196" si="108">E287</f>
        <v>1</v>
      </c>
      <c r="F191" s="63">
        <f t="shared" ref="F191:F196" si="109">F301</f>
        <v>1</v>
      </c>
      <c r="G191" s="63">
        <f t="shared" ref="G191:G196" si="110">G315</f>
        <v>1</v>
      </c>
      <c r="H191" s="63">
        <f t="shared" ref="H191:J196" si="111">H301</f>
        <v>0.46875</v>
      </c>
      <c r="I191" s="63">
        <f t="shared" si="111"/>
        <v>0.46875</v>
      </c>
      <c r="J191" s="63">
        <f t="shared" si="111"/>
        <v>0.46875</v>
      </c>
      <c r="K191" s="63">
        <f t="shared" ref="K191:M196" si="112">K315</f>
        <v>0.5859375</v>
      </c>
      <c r="L191" s="63">
        <f t="shared" si="112"/>
        <v>0.5859375</v>
      </c>
      <c r="M191" s="63">
        <f t="shared" si="112"/>
        <v>0.5859375</v>
      </c>
    </row>
    <row r="192" spans="1:16" ht="15" hidden="1" customHeight="1" outlineLevel="1" x14ac:dyDescent="0.25">
      <c r="B192" s="20" t="s">
        <v>291</v>
      </c>
      <c r="C192" s="21" t="s">
        <v>308</v>
      </c>
      <c r="E192" s="63">
        <f t="shared" si="108"/>
        <v>1</v>
      </c>
      <c r="F192" s="63">
        <f t="shared" si="109"/>
        <v>1</v>
      </c>
      <c r="G192" s="63">
        <f t="shared" si="110"/>
        <v>1</v>
      </c>
      <c r="H192" s="63">
        <f t="shared" si="111"/>
        <v>0.46875</v>
      </c>
      <c r="I192" s="63">
        <f t="shared" si="111"/>
        <v>0.46875</v>
      </c>
      <c r="J192" s="63">
        <f t="shared" si="111"/>
        <v>0.46875</v>
      </c>
      <c r="K192" s="63">
        <f t="shared" si="112"/>
        <v>0.5859375</v>
      </c>
      <c r="L192" s="63">
        <f t="shared" si="112"/>
        <v>0.5859375</v>
      </c>
      <c r="M192" s="63">
        <f t="shared" si="112"/>
        <v>0.5859375</v>
      </c>
    </row>
    <row r="193" spans="1:16" ht="15" hidden="1" customHeight="1" outlineLevel="1" x14ac:dyDescent="0.25">
      <c r="B193" s="20" t="s">
        <v>292</v>
      </c>
      <c r="C193" s="21" t="s">
        <v>308</v>
      </c>
      <c r="E193" s="63">
        <f t="shared" si="108"/>
        <v>0</v>
      </c>
      <c r="F193" s="63">
        <f t="shared" si="109"/>
        <v>1</v>
      </c>
      <c r="G193" s="63">
        <f t="shared" si="110"/>
        <v>0.72916666666666663</v>
      </c>
      <c r="H193" s="63">
        <f t="shared" si="111"/>
        <v>1</v>
      </c>
      <c r="I193" s="63">
        <f t="shared" si="111"/>
        <v>1</v>
      </c>
      <c r="J193" s="63">
        <f t="shared" si="111"/>
        <v>1</v>
      </c>
      <c r="K193" s="63">
        <f t="shared" si="112"/>
        <v>1</v>
      </c>
      <c r="L193" s="63">
        <f t="shared" si="112"/>
        <v>1</v>
      </c>
      <c r="M193" s="63">
        <f t="shared" si="112"/>
        <v>1</v>
      </c>
    </row>
    <row r="194" spans="1:16" ht="15" hidden="1" customHeight="1" outlineLevel="1" x14ac:dyDescent="0.25">
      <c r="B194" s="20" t="s">
        <v>293</v>
      </c>
      <c r="C194" s="21" t="s">
        <v>308</v>
      </c>
      <c r="E194" s="63">
        <f t="shared" si="108"/>
        <v>0</v>
      </c>
      <c r="F194" s="63">
        <f t="shared" si="109"/>
        <v>1</v>
      </c>
      <c r="G194" s="63">
        <f t="shared" si="110"/>
        <v>1</v>
      </c>
      <c r="H194" s="63">
        <f t="shared" si="111"/>
        <v>0.46875</v>
      </c>
      <c r="I194" s="63">
        <f t="shared" si="111"/>
        <v>0.46875</v>
      </c>
      <c r="J194" s="63">
        <f t="shared" si="111"/>
        <v>0.46875</v>
      </c>
      <c r="K194" s="63">
        <f t="shared" si="112"/>
        <v>1</v>
      </c>
      <c r="L194" s="63">
        <f t="shared" si="112"/>
        <v>1</v>
      </c>
      <c r="M194" s="63">
        <f t="shared" si="112"/>
        <v>1</v>
      </c>
    </row>
    <row r="195" spans="1:16" ht="15" hidden="1" customHeight="1" outlineLevel="1" x14ac:dyDescent="0.25">
      <c r="B195" s="20" t="s">
        <v>294</v>
      </c>
      <c r="C195" s="21" t="s">
        <v>308</v>
      </c>
      <c r="E195" s="63">
        <f t="shared" si="108"/>
        <v>0</v>
      </c>
      <c r="F195" s="63">
        <f t="shared" si="109"/>
        <v>0</v>
      </c>
      <c r="G195" s="63">
        <f t="shared" si="110"/>
        <v>0.72916666666666663</v>
      </c>
      <c r="H195" s="63">
        <f t="shared" si="111"/>
        <v>0</v>
      </c>
      <c r="I195" s="63">
        <f t="shared" si="111"/>
        <v>0</v>
      </c>
      <c r="J195" s="63">
        <f t="shared" si="111"/>
        <v>0</v>
      </c>
      <c r="K195" s="63">
        <f t="shared" si="112"/>
        <v>1</v>
      </c>
      <c r="L195" s="63">
        <f t="shared" si="112"/>
        <v>1</v>
      </c>
      <c r="M195" s="63">
        <f t="shared" si="112"/>
        <v>1</v>
      </c>
    </row>
    <row r="196" spans="1:16" ht="15" hidden="1" customHeight="1" outlineLevel="1" x14ac:dyDescent="0.25">
      <c r="B196" s="20" t="s">
        <v>418</v>
      </c>
      <c r="C196" s="21" t="s">
        <v>308</v>
      </c>
      <c r="E196" s="63">
        <f t="shared" si="108"/>
        <v>0</v>
      </c>
      <c r="F196" s="63">
        <f t="shared" si="109"/>
        <v>0</v>
      </c>
      <c r="G196" s="63">
        <f t="shared" si="110"/>
        <v>1</v>
      </c>
      <c r="H196" s="63">
        <f t="shared" si="111"/>
        <v>0</v>
      </c>
      <c r="I196" s="63">
        <f t="shared" si="111"/>
        <v>0</v>
      </c>
      <c r="J196" s="63">
        <f t="shared" si="111"/>
        <v>0</v>
      </c>
      <c r="K196" s="63">
        <f t="shared" si="112"/>
        <v>0.5859375</v>
      </c>
      <c r="L196" s="63">
        <f t="shared" si="112"/>
        <v>0.5859375</v>
      </c>
      <c r="M196" s="63">
        <f t="shared" si="112"/>
        <v>0.5859375</v>
      </c>
    </row>
    <row r="197" spans="1:16" ht="15" hidden="1" customHeight="1" outlineLevel="1" x14ac:dyDescent="0.3">
      <c r="A197" s="37"/>
      <c r="C197" s="21"/>
    </row>
    <row r="198" spans="1:16" ht="15" hidden="1" customHeight="1" outlineLevel="1" x14ac:dyDescent="0.25">
      <c r="A198" s="39" t="s">
        <v>268</v>
      </c>
      <c r="C198" s="40"/>
      <c r="P198" s="20" t="s">
        <v>307</v>
      </c>
    </row>
    <row r="199" spans="1:16" ht="15" hidden="1" customHeight="1" outlineLevel="1" x14ac:dyDescent="0.25">
      <c r="B199" s="20" t="s">
        <v>269</v>
      </c>
      <c r="C199" s="21" t="s">
        <v>48</v>
      </c>
      <c r="E199" s="49">
        <f t="shared" ref="E199:M199" si="113">E30</f>
        <v>20</v>
      </c>
      <c r="F199" s="49">
        <f t="shared" si="113"/>
        <v>20</v>
      </c>
      <c r="G199" s="49">
        <f t="shared" si="113"/>
        <v>20</v>
      </c>
      <c r="H199" s="49">
        <f t="shared" si="113"/>
        <v>20</v>
      </c>
      <c r="I199" s="49">
        <f t="shared" si="113"/>
        <v>20</v>
      </c>
      <c r="J199" s="49">
        <f t="shared" si="113"/>
        <v>20</v>
      </c>
      <c r="K199" s="49">
        <f t="shared" si="113"/>
        <v>20</v>
      </c>
      <c r="L199" s="49">
        <f t="shared" si="113"/>
        <v>20</v>
      </c>
      <c r="M199" s="49">
        <f t="shared" si="113"/>
        <v>20</v>
      </c>
      <c r="O199" s="20" t="s">
        <v>0</v>
      </c>
    </row>
    <row r="200" spans="1:16" ht="15" hidden="1" customHeight="1" outlineLevel="1" x14ac:dyDescent="0.25">
      <c r="B200" s="20" t="s">
        <v>270</v>
      </c>
      <c r="C200" s="21" t="s">
        <v>295</v>
      </c>
      <c r="E200" s="49">
        <f t="shared" ref="E200:M200" si="114">E30*E189</f>
        <v>20</v>
      </c>
      <c r="F200" s="49">
        <f t="shared" si="114"/>
        <v>20</v>
      </c>
      <c r="G200" s="49">
        <f t="shared" si="114"/>
        <v>20</v>
      </c>
      <c r="H200" s="49">
        <f t="shared" si="114"/>
        <v>9.375</v>
      </c>
      <c r="I200" s="49">
        <f t="shared" si="114"/>
        <v>9.0517241379310338</v>
      </c>
      <c r="J200" s="49">
        <f t="shared" si="114"/>
        <v>9.375</v>
      </c>
      <c r="K200" s="49">
        <f t="shared" si="114"/>
        <v>9.375</v>
      </c>
      <c r="L200" s="49">
        <f t="shared" si="114"/>
        <v>9.0517241379310338</v>
      </c>
      <c r="M200" s="49">
        <f t="shared" si="114"/>
        <v>9.0517241379310338</v>
      </c>
      <c r="O200" s="20" t="s">
        <v>0</v>
      </c>
    </row>
    <row r="201" spans="1:16" ht="15" hidden="1" customHeight="1" outlineLevel="1" x14ac:dyDescent="0.25">
      <c r="B201" s="20" t="s">
        <v>271</v>
      </c>
      <c r="C201" s="21" t="s">
        <v>298</v>
      </c>
      <c r="E201" s="45">
        <f t="shared" ref="E201:M201" si="115">(E31-E202)/2</f>
        <v>117</v>
      </c>
      <c r="F201" s="45">
        <f t="shared" si="115"/>
        <v>117</v>
      </c>
      <c r="G201" s="45">
        <f t="shared" si="115"/>
        <v>117</v>
      </c>
      <c r="H201" s="45">
        <f t="shared" si="115"/>
        <v>82</v>
      </c>
      <c r="I201" s="45">
        <f t="shared" si="115"/>
        <v>0</v>
      </c>
      <c r="J201" s="45">
        <f t="shared" si="115"/>
        <v>82</v>
      </c>
      <c r="K201" s="45">
        <f t="shared" si="115"/>
        <v>82</v>
      </c>
      <c r="L201" s="45">
        <f t="shared" si="115"/>
        <v>0</v>
      </c>
      <c r="M201" s="45">
        <f t="shared" si="115"/>
        <v>0</v>
      </c>
      <c r="O201" s="20" t="s">
        <v>0</v>
      </c>
    </row>
    <row r="202" spans="1:16" ht="15" hidden="1" customHeight="1" outlineLevel="1" x14ac:dyDescent="0.25">
      <c r="B202" s="20" t="s">
        <v>272</v>
      </c>
      <c r="C202" s="21" t="s">
        <v>297</v>
      </c>
      <c r="E202" s="45">
        <f t="shared" ref="E202:M202" si="116">E34+2*E42</f>
        <v>16</v>
      </c>
      <c r="F202" s="45">
        <f t="shared" si="116"/>
        <v>16</v>
      </c>
      <c r="G202" s="45">
        <f t="shared" si="116"/>
        <v>16</v>
      </c>
      <c r="H202" s="45">
        <f t="shared" si="116"/>
        <v>86</v>
      </c>
      <c r="I202" s="45">
        <f t="shared" si="116"/>
        <v>250</v>
      </c>
      <c r="J202" s="45">
        <f t="shared" si="116"/>
        <v>86</v>
      </c>
      <c r="K202" s="45">
        <f t="shared" si="116"/>
        <v>86</v>
      </c>
      <c r="L202" s="45">
        <f t="shared" si="116"/>
        <v>250</v>
      </c>
      <c r="M202" s="45">
        <f t="shared" si="116"/>
        <v>250</v>
      </c>
      <c r="O202" s="20" t="s">
        <v>0</v>
      </c>
    </row>
    <row r="203" spans="1:16" ht="15" hidden="1" customHeight="1" outlineLevel="1" x14ac:dyDescent="0.25">
      <c r="B203" s="20" t="s">
        <v>273</v>
      </c>
      <c r="C203" s="21" t="s">
        <v>46</v>
      </c>
      <c r="E203" s="49">
        <f t="shared" ref="E203:M203" si="117">E32</f>
        <v>20</v>
      </c>
      <c r="F203" s="49">
        <f t="shared" si="117"/>
        <v>20</v>
      </c>
      <c r="G203" s="49">
        <f t="shared" si="117"/>
        <v>20</v>
      </c>
      <c r="H203" s="49">
        <f t="shared" si="117"/>
        <v>20</v>
      </c>
      <c r="I203" s="49">
        <f t="shared" si="117"/>
        <v>20</v>
      </c>
      <c r="J203" s="49">
        <f t="shared" si="117"/>
        <v>20</v>
      </c>
      <c r="K203" s="49">
        <f t="shared" si="117"/>
        <v>20</v>
      </c>
      <c r="L203" s="49">
        <f t="shared" si="117"/>
        <v>20</v>
      </c>
      <c r="M203" s="49">
        <f t="shared" si="117"/>
        <v>20</v>
      </c>
      <c r="O203" s="20" t="s">
        <v>0</v>
      </c>
    </row>
    <row r="204" spans="1:16" ht="15" hidden="1" customHeight="1" outlineLevel="1" x14ac:dyDescent="0.25">
      <c r="B204" s="20" t="s">
        <v>274</v>
      </c>
      <c r="C204" s="21" t="s">
        <v>296</v>
      </c>
      <c r="E204" s="49">
        <f t="shared" ref="E204:M204" si="118">E32*E190</f>
        <v>20</v>
      </c>
      <c r="F204" s="49">
        <f t="shared" si="118"/>
        <v>20</v>
      </c>
      <c r="G204" s="49">
        <f t="shared" si="118"/>
        <v>20</v>
      </c>
      <c r="H204" s="49">
        <f t="shared" si="118"/>
        <v>9.375</v>
      </c>
      <c r="I204" s="49">
        <f t="shared" si="118"/>
        <v>9.375</v>
      </c>
      <c r="J204" s="49">
        <f t="shared" si="118"/>
        <v>9.0517241379310338</v>
      </c>
      <c r="K204" s="49">
        <f t="shared" si="118"/>
        <v>9.375</v>
      </c>
      <c r="L204" s="49">
        <f t="shared" si="118"/>
        <v>9.0517241379310338</v>
      </c>
      <c r="M204" s="49">
        <f t="shared" si="118"/>
        <v>9.0517241379310338</v>
      </c>
      <c r="O204" s="20" t="s">
        <v>0</v>
      </c>
    </row>
    <row r="205" spans="1:16" ht="15" hidden="1" customHeight="1" outlineLevel="1" x14ac:dyDescent="0.25">
      <c r="B205" s="20" t="s">
        <v>275</v>
      </c>
      <c r="C205" s="21" t="s">
        <v>299</v>
      </c>
      <c r="E205" s="45">
        <f t="shared" ref="E205:M205" si="119">(E33-E206)/2</f>
        <v>117</v>
      </c>
      <c r="F205" s="45">
        <f t="shared" si="119"/>
        <v>117</v>
      </c>
      <c r="G205" s="45">
        <f t="shared" si="119"/>
        <v>117</v>
      </c>
      <c r="H205" s="45">
        <f t="shared" si="119"/>
        <v>82</v>
      </c>
      <c r="I205" s="45">
        <f t="shared" si="119"/>
        <v>82</v>
      </c>
      <c r="J205" s="45">
        <f t="shared" si="119"/>
        <v>0</v>
      </c>
      <c r="K205" s="45">
        <f t="shared" si="119"/>
        <v>82</v>
      </c>
      <c r="L205" s="45">
        <f t="shared" si="119"/>
        <v>0</v>
      </c>
      <c r="M205" s="45">
        <f t="shared" si="119"/>
        <v>0</v>
      </c>
      <c r="O205" s="20" t="s">
        <v>0</v>
      </c>
    </row>
    <row r="206" spans="1:16" ht="15" hidden="1" customHeight="1" outlineLevel="1" x14ac:dyDescent="0.25">
      <c r="B206" s="20" t="s">
        <v>276</v>
      </c>
      <c r="C206" s="21" t="s">
        <v>300</v>
      </c>
      <c r="E206" s="45">
        <f t="shared" ref="E206:M206" si="120">E34+2*E43</f>
        <v>16</v>
      </c>
      <c r="F206" s="45">
        <f t="shared" si="120"/>
        <v>16</v>
      </c>
      <c r="G206" s="45">
        <f t="shared" si="120"/>
        <v>16</v>
      </c>
      <c r="H206" s="45">
        <f t="shared" si="120"/>
        <v>86</v>
      </c>
      <c r="I206" s="45">
        <f t="shared" si="120"/>
        <v>86</v>
      </c>
      <c r="J206" s="45">
        <f t="shared" si="120"/>
        <v>250</v>
      </c>
      <c r="K206" s="45">
        <f t="shared" si="120"/>
        <v>86</v>
      </c>
      <c r="L206" s="45">
        <f t="shared" si="120"/>
        <v>250</v>
      </c>
      <c r="M206" s="45">
        <f t="shared" si="120"/>
        <v>250</v>
      </c>
      <c r="O206" s="20" t="s">
        <v>0</v>
      </c>
    </row>
    <row r="207" spans="1:16" ht="15" hidden="1" customHeight="1" outlineLevel="1" x14ac:dyDescent="0.25">
      <c r="B207" s="20" t="s">
        <v>277</v>
      </c>
      <c r="C207" s="21" t="s">
        <v>301</v>
      </c>
      <c r="E207" s="49">
        <f t="shared" ref="E207:M207" si="121">E34*E191</f>
        <v>16</v>
      </c>
      <c r="F207" s="49">
        <f t="shared" si="121"/>
        <v>16</v>
      </c>
      <c r="G207" s="49">
        <f t="shared" si="121"/>
        <v>16</v>
      </c>
      <c r="H207" s="49">
        <f t="shared" si="121"/>
        <v>7.5</v>
      </c>
      <c r="I207" s="49">
        <f t="shared" si="121"/>
        <v>7.5</v>
      </c>
      <c r="J207" s="49">
        <f t="shared" si="121"/>
        <v>7.5</v>
      </c>
      <c r="K207" s="49">
        <f t="shared" si="121"/>
        <v>9.375</v>
      </c>
      <c r="L207" s="49">
        <f t="shared" si="121"/>
        <v>9.375</v>
      </c>
      <c r="M207" s="49">
        <f t="shared" si="121"/>
        <v>9.375</v>
      </c>
      <c r="O207" s="20" t="s">
        <v>0</v>
      </c>
    </row>
    <row r="208" spans="1:16" ht="15" hidden="1" customHeight="1" outlineLevel="1" x14ac:dyDescent="0.25">
      <c r="B208" s="20" t="s">
        <v>278</v>
      </c>
      <c r="C208" s="21" t="s">
        <v>302</v>
      </c>
      <c r="E208" s="49">
        <f t="shared" ref="E208:M208" si="122">E34*E192</f>
        <v>16</v>
      </c>
      <c r="F208" s="49">
        <f t="shared" si="122"/>
        <v>16</v>
      </c>
      <c r="G208" s="49">
        <f t="shared" si="122"/>
        <v>16</v>
      </c>
      <c r="H208" s="49">
        <f t="shared" si="122"/>
        <v>7.5</v>
      </c>
      <c r="I208" s="49">
        <f t="shared" si="122"/>
        <v>7.5</v>
      </c>
      <c r="J208" s="49">
        <f t="shared" si="122"/>
        <v>7.5</v>
      </c>
      <c r="K208" s="49">
        <f t="shared" si="122"/>
        <v>9.375</v>
      </c>
      <c r="L208" s="49">
        <f t="shared" si="122"/>
        <v>9.375</v>
      </c>
      <c r="M208" s="49">
        <f t="shared" si="122"/>
        <v>9.375</v>
      </c>
      <c r="O208" s="20" t="s">
        <v>0</v>
      </c>
    </row>
    <row r="209" spans="1:15" ht="15" hidden="1" customHeight="1" outlineLevel="1" x14ac:dyDescent="0.25">
      <c r="B209" s="20" t="s">
        <v>279</v>
      </c>
      <c r="C209" s="21" t="s">
        <v>303</v>
      </c>
      <c r="E209" s="49">
        <f t="shared" ref="E209:M209" si="123">E34*E193</f>
        <v>0</v>
      </c>
      <c r="F209" s="49">
        <f t="shared" si="123"/>
        <v>16</v>
      </c>
      <c r="G209" s="49">
        <f t="shared" si="123"/>
        <v>11.666666666666666</v>
      </c>
      <c r="H209" s="49">
        <f t="shared" si="123"/>
        <v>16</v>
      </c>
      <c r="I209" s="49">
        <f t="shared" si="123"/>
        <v>16</v>
      </c>
      <c r="J209" s="49">
        <f t="shared" si="123"/>
        <v>16</v>
      </c>
      <c r="K209" s="49">
        <f t="shared" si="123"/>
        <v>16</v>
      </c>
      <c r="L209" s="49">
        <f t="shared" si="123"/>
        <v>16</v>
      </c>
      <c r="M209" s="49">
        <f t="shared" si="123"/>
        <v>16</v>
      </c>
      <c r="O209" s="20" t="s">
        <v>0</v>
      </c>
    </row>
    <row r="210" spans="1:15" ht="15" hidden="1" customHeight="1" outlineLevel="1" x14ac:dyDescent="0.25">
      <c r="B210" s="20" t="s">
        <v>280</v>
      </c>
      <c r="C210" s="21" t="s">
        <v>304</v>
      </c>
      <c r="E210" s="49">
        <f t="shared" ref="E210:M210" si="124">E34*E194</f>
        <v>0</v>
      </c>
      <c r="F210" s="49">
        <f t="shared" si="124"/>
        <v>16</v>
      </c>
      <c r="G210" s="49">
        <f t="shared" si="124"/>
        <v>16</v>
      </c>
      <c r="H210" s="49">
        <f t="shared" si="124"/>
        <v>7.5</v>
      </c>
      <c r="I210" s="49">
        <f t="shared" si="124"/>
        <v>7.5</v>
      </c>
      <c r="J210" s="49">
        <f t="shared" si="124"/>
        <v>7.5</v>
      </c>
      <c r="K210" s="49">
        <f t="shared" si="124"/>
        <v>16</v>
      </c>
      <c r="L210" s="49">
        <f t="shared" si="124"/>
        <v>16</v>
      </c>
      <c r="M210" s="49">
        <f t="shared" si="124"/>
        <v>16</v>
      </c>
      <c r="O210" s="20" t="s">
        <v>0</v>
      </c>
    </row>
    <row r="211" spans="1:15" ht="15" hidden="1" customHeight="1" outlineLevel="1" x14ac:dyDescent="0.25">
      <c r="B211" s="20" t="s">
        <v>281</v>
      </c>
      <c r="C211" s="21" t="s">
        <v>305</v>
      </c>
      <c r="E211" s="49">
        <f t="shared" ref="E211:M211" si="125">E34*E195</f>
        <v>0</v>
      </c>
      <c r="F211" s="49">
        <f t="shared" si="125"/>
        <v>0</v>
      </c>
      <c r="G211" s="49">
        <f t="shared" si="125"/>
        <v>11.666666666666666</v>
      </c>
      <c r="H211" s="49">
        <f t="shared" si="125"/>
        <v>0</v>
      </c>
      <c r="I211" s="49">
        <f t="shared" si="125"/>
        <v>0</v>
      </c>
      <c r="J211" s="49">
        <f t="shared" si="125"/>
        <v>0</v>
      </c>
      <c r="K211" s="49">
        <f t="shared" si="125"/>
        <v>16</v>
      </c>
      <c r="L211" s="49">
        <f t="shared" si="125"/>
        <v>16</v>
      </c>
      <c r="M211" s="49">
        <f t="shared" si="125"/>
        <v>16</v>
      </c>
      <c r="O211" s="20" t="s">
        <v>0</v>
      </c>
    </row>
    <row r="212" spans="1:15" ht="15" hidden="1" customHeight="1" outlineLevel="1" x14ac:dyDescent="0.25">
      <c r="B212" s="20" t="s">
        <v>416</v>
      </c>
      <c r="C212" s="21" t="s">
        <v>417</v>
      </c>
      <c r="E212" s="49">
        <f t="shared" ref="E212:M212" si="126">E34*E196</f>
        <v>0</v>
      </c>
      <c r="F212" s="49">
        <f t="shared" si="126"/>
        <v>0</v>
      </c>
      <c r="G212" s="49">
        <f t="shared" si="126"/>
        <v>16</v>
      </c>
      <c r="H212" s="49">
        <f t="shared" si="126"/>
        <v>0</v>
      </c>
      <c r="I212" s="49">
        <f t="shared" si="126"/>
        <v>0</v>
      </c>
      <c r="J212" s="49">
        <f t="shared" si="126"/>
        <v>0</v>
      </c>
      <c r="K212" s="49">
        <f t="shared" si="126"/>
        <v>9.375</v>
      </c>
      <c r="L212" s="49">
        <f t="shared" si="126"/>
        <v>9.375</v>
      </c>
      <c r="M212" s="49">
        <f t="shared" si="126"/>
        <v>9.375</v>
      </c>
      <c r="O212" s="20" t="s">
        <v>0</v>
      </c>
    </row>
    <row r="213" spans="1:15" ht="15" hidden="1" customHeight="1" outlineLevel="1" x14ac:dyDescent="0.25">
      <c r="B213" s="20" t="s">
        <v>282</v>
      </c>
      <c r="C213" s="21" t="s">
        <v>306</v>
      </c>
      <c r="E213" s="65">
        <f t="shared" ref="E213:E218" si="127">E293</f>
        <v>5</v>
      </c>
      <c r="F213" s="65">
        <f t="shared" ref="F213:F218" si="128">F307</f>
        <v>5</v>
      </c>
      <c r="G213" s="65">
        <f t="shared" ref="G213:G218" si="129">G321</f>
        <v>5</v>
      </c>
      <c r="H213" s="65">
        <f t="shared" ref="H213:J218" si="130">H307</f>
        <v>5</v>
      </c>
      <c r="I213" s="65">
        <f t="shared" si="130"/>
        <v>5</v>
      </c>
      <c r="J213" s="65">
        <f t="shared" si="130"/>
        <v>5</v>
      </c>
      <c r="K213" s="65">
        <f t="shared" ref="K213:M218" si="131">K321</f>
        <v>5</v>
      </c>
      <c r="L213" s="65">
        <f t="shared" si="131"/>
        <v>5</v>
      </c>
      <c r="M213" s="65">
        <f t="shared" si="131"/>
        <v>5</v>
      </c>
      <c r="O213" s="20" t="s">
        <v>0</v>
      </c>
    </row>
    <row r="214" spans="1:15" ht="15" hidden="1" customHeight="1" outlineLevel="1" x14ac:dyDescent="0.25">
      <c r="B214" s="20" t="s">
        <v>283</v>
      </c>
      <c r="C214" s="21" t="s">
        <v>306</v>
      </c>
      <c r="E214" s="65">
        <f t="shared" si="127"/>
        <v>555</v>
      </c>
      <c r="F214" s="65">
        <f t="shared" si="128"/>
        <v>240</v>
      </c>
      <c r="G214" s="65">
        <f t="shared" si="129"/>
        <v>60</v>
      </c>
      <c r="H214" s="65">
        <f t="shared" si="130"/>
        <v>30</v>
      </c>
      <c r="I214" s="65">
        <f t="shared" si="130"/>
        <v>30</v>
      </c>
      <c r="J214" s="65">
        <f t="shared" si="130"/>
        <v>30</v>
      </c>
      <c r="K214" s="65">
        <f t="shared" si="131"/>
        <v>107</v>
      </c>
      <c r="L214" s="65">
        <f t="shared" si="131"/>
        <v>107</v>
      </c>
      <c r="M214" s="65">
        <f t="shared" si="131"/>
        <v>107</v>
      </c>
      <c r="O214" s="20" t="s">
        <v>0</v>
      </c>
    </row>
    <row r="215" spans="1:15" ht="15" hidden="1" customHeight="1" outlineLevel="1" x14ac:dyDescent="0.25">
      <c r="B215" s="20" t="s">
        <v>284</v>
      </c>
      <c r="C215" s="21" t="s">
        <v>306</v>
      </c>
      <c r="E215" s="65">
        <f t="shared" si="127"/>
        <v>0</v>
      </c>
      <c r="F215" s="65">
        <f t="shared" si="128"/>
        <v>70</v>
      </c>
      <c r="G215" s="65">
        <f t="shared" si="129"/>
        <v>70</v>
      </c>
      <c r="H215" s="65">
        <f t="shared" si="130"/>
        <v>490</v>
      </c>
      <c r="I215" s="65">
        <f t="shared" si="130"/>
        <v>490</v>
      </c>
      <c r="J215" s="65">
        <f t="shared" si="130"/>
        <v>490</v>
      </c>
      <c r="K215" s="65">
        <f t="shared" si="131"/>
        <v>112</v>
      </c>
      <c r="L215" s="65">
        <f t="shared" si="131"/>
        <v>112</v>
      </c>
      <c r="M215" s="65">
        <f t="shared" si="131"/>
        <v>112</v>
      </c>
      <c r="O215" s="20" t="s">
        <v>0</v>
      </c>
    </row>
    <row r="216" spans="1:15" ht="15" hidden="1" customHeight="1" outlineLevel="1" x14ac:dyDescent="0.25">
      <c r="B216" s="20" t="s">
        <v>285</v>
      </c>
      <c r="C216" s="21" t="s">
        <v>306</v>
      </c>
      <c r="E216" s="65">
        <f t="shared" si="127"/>
        <v>0</v>
      </c>
      <c r="F216" s="65">
        <f t="shared" si="128"/>
        <v>245</v>
      </c>
      <c r="G216" s="65">
        <f t="shared" si="129"/>
        <v>290</v>
      </c>
      <c r="H216" s="65">
        <f t="shared" si="130"/>
        <v>35</v>
      </c>
      <c r="I216" s="65">
        <f t="shared" si="130"/>
        <v>35</v>
      </c>
      <c r="J216" s="65">
        <f t="shared" si="130"/>
        <v>35</v>
      </c>
      <c r="K216" s="65">
        <f t="shared" si="131"/>
        <v>112</v>
      </c>
      <c r="L216" s="65">
        <f t="shared" si="131"/>
        <v>112</v>
      </c>
      <c r="M216" s="65">
        <f t="shared" si="131"/>
        <v>112</v>
      </c>
      <c r="O216" s="20" t="s">
        <v>0</v>
      </c>
    </row>
    <row r="217" spans="1:15" ht="15" hidden="1" customHeight="1" outlineLevel="1" x14ac:dyDescent="0.25">
      <c r="B217" s="20" t="s">
        <v>286</v>
      </c>
      <c r="C217" s="21" t="s">
        <v>306</v>
      </c>
      <c r="E217" s="65">
        <f t="shared" si="127"/>
        <v>0</v>
      </c>
      <c r="F217" s="65">
        <f t="shared" si="128"/>
        <v>0</v>
      </c>
      <c r="G217" s="65">
        <f t="shared" si="129"/>
        <v>70</v>
      </c>
      <c r="H217" s="65">
        <f t="shared" si="130"/>
        <v>0</v>
      </c>
      <c r="I217" s="65">
        <f t="shared" si="130"/>
        <v>0</v>
      </c>
      <c r="J217" s="65">
        <f t="shared" si="130"/>
        <v>0</v>
      </c>
      <c r="K217" s="65">
        <f t="shared" si="131"/>
        <v>112</v>
      </c>
      <c r="L217" s="65">
        <f t="shared" si="131"/>
        <v>112</v>
      </c>
      <c r="M217" s="65">
        <f t="shared" si="131"/>
        <v>112</v>
      </c>
      <c r="O217" s="20" t="s">
        <v>0</v>
      </c>
    </row>
    <row r="218" spans="1:15" ht="15" hidden="1" customHeight="1" outlineLevel="1" x14ac:dyDescent="0.25">
      <c r="B218" s="20" t="s">
        <v>419</v>
      </c>
      <c r="C218" s="21" t="s">
        <v>306</v>
      </c>
      <c r="E218" s="65">
        <f t="shared" si="127"/>
        <v>0</v>
      </c>
      <c r="F218" s="65">
        <f t="shared" si="128"/>
        <v>0</v>
      </c>
      <c r="G218" s="65">
        <f t="shared" si="129"/>
        <v>65</v>
      </c>
      <c r="H218" s="65">
        <f t="shared" si="130"/>
        <v>0</v>
      </c>
      <c r="I218" s="65">
        <f t="shared" si="130"/>
        <v>0</v>
      </c>
      <c r="J218" s="65">
        <f t="shared" si="130"/>
        <v>0</v>
      </c>
      <c r="K218" s="65">
        <f t="shared" si="131"/>
        <v>112</v>
      </c>
      <c r="L218" s="65">
        <f t="shared" si="131"/>
        <v>112</v>
      </c>
      <c r="M218" s="65">
        <f t="shared" si="131"/>
        <v>112</v>
      </c>
      <c r="O218" s="20" t="s">
        <v>0</v>
      </c>
    </row>
    <row r="219" spans="1:15" ht="15" hidden="1" customHeight="1" outlineLevel="1" x14ac:dyDescent="0.25">
      <c r="C219" s="21"/>
      <c r="E219" s="50"/>
      <c r="F219" s="50"/>
      <c r="G219" s="50"/>
      <c r="H219" s="50"/>
      <c r="I219" s="50"/>
      <c r="J219" s="50"/>
      <c r="K219" s="50"/>
      <c r="L219" s="50"/>
      <c r="M219" s="50"/>
    </row>
    <row r="220" spans="1:15" ht="15" hidden="1" customHeight="1" outlineLevel="1" x14ac:dyDescent="0.25">
      <c r="A220" s="39" t="s">
        <v>83</v>
      </c>
      <c r="C220" s="40"/>
    </row>
    <row r="221" spans="1:15" ht="15" hidden="1" customHeight="1" outlineLevel="1" x14ac:dyDescent="0.25">
      <c r="B221" s="20" t="s">
        <v>67</v>
      </c>
      <c r="C221" s="21" t="s">
        <v>87</v>
      </c>
      <c r="E221" s="7">
        <f>2*E201*E199+E202*E200</f>
        <v>5000</v>
      </c>
      <c r="F221" s="7">
        <f t="shared" ref="F221:M221" si="132">2*F201*F199+F202*F200</f>
        <v>5000</v>
      </c>
      <c r="G221" s="7">
        <f t="shared" si="132"/>
        <v>5000</v>
      </c>
      <c r="H221" s="7">
        <f t="shared" si="132"/>
        <v>4086.25</v>
      </c>
      <c r="I221" s="7">
        <f t="shared" si="132"/>
        <v>2262.9310344827586</v>
      </c>
      <c r="J221" s="7">
        <f t="shared" si="132"/>
        <v>4086.25</v>
      </c>
      <c r="K221" s="7">
        <f t="shared" si="132"/>
        <v>4086.25</v>
      </c>
      <c r="L221" s="7">
        <f t="shared" si="132"/>
        <v>2262.9310344827586</v>
      </c>
      <c r="M221" s="7">
        <f t="shared" si="132"/>
        <v>2262.9310344827586</v>
      </c>
      <c r="O221" s="20" t="s">
        <v>233</v>
      </c>
    </row>
    <row r="222" spans="1:15" ht="15" hidden="1" customHeight="1" outlineLevel="1" x14ac:dyDescent="0.25">
      <c r="B222" s="20" t="s">
        <v>426</v>
      </c>
      <c r="C222" s="21" t="s">
        <v>88</v>
      </c>
      <c r="E222" s="7">
        <f t="shared" ref="E222:M222" si="133">E62</f>
        <v>590</v>
      </c>
      <c r="F222" s="7">
        <f t="shared" si="133"/>
        <v>590</v>
      </c>
      <c r="G222" s="7">
        <f t="shared" si="133"/>
        <v>590</v>
      </c>
      <c r="H222" s="7">
        <f t="shared" si="133"/>
        <v>590</v>
      </c>
      <c r="I222" s="7">
        <f t="shared" si="133"/>
        <v>590</v>
      </c>
      <c r="J222" s="7">
        <f t="shared" si="133"/>
        <v>590</v>
      </c>
      <c r="K222" s="7">
        <f t="shared" si="133"/>
        <v>590</v>
      </c>
      <c r="L222" s="7">
        <f t="shared" si="133"/>
        <v>590</v>
      </c>
      <c r="M222" s="7">
        <f t="shared" si="133"/>
        <v>590</v>
      </c>
      <c r="O222" s="20" t="s">
        <v>0</v>
      </c>
    </row>
    <row r="223" spans="1:15" ht="15" hidden="1" customHeight="1" outlineLevel="1" x14ac:dyDescent="0.25">
      <c r="B223" s="20" t="s">
        <v>68</v>
      </c>
      <c r="C223" s="21" t="s">
        <v>89</v>
      </c>
      <c r="E223" s="48">
        <f>2*E201/12*E199^3+E202/12*E200^3+E221*(E254-E222)^2</f>
        <v>420666666.66666669</v>
      </c>
      <c r="F223" s="48">
        <f t="shared" ref="F223:M223" si="134">2*F201/12*F199^3+F202/12*F200^3+F221*(F254-F222)^2</f>
        <v>420666666.66666669</v>
      </c>
      <c r="G223" s="48">
        <f t="shared" si="134"/>
        <v>420666666.66666669</v>
      </c>
      <c r="H223" s="48">
        <f t="shared" si="134"/>
        <v>343768863.4847005</v>
      </c>
      <c r="I223" s="48">
        <f t="shared" si="134"/>
        <v>240415658.60298842</v>
      </c>
      <c r="J223" s="48">
        <f t="shared" si="134"/>
        <v>263877502.74672997</v>
      </c>
      <c r="K223" s="48">
        <f t="shared" si="134"/>
        <v>343768863.4847005</v>
      </c>
      <c r="L223" s="48">
        <f t="shared" si="134"/>
        <v>190327950.86123613</v>
      </c>
      <c r="M223" s="48">
        <f t="shared" si="134"/>
        <v>190327950.86123613</v>
      </c>
      <c r="O223" s="20" t="s">
        <v>373</v>
      </c>
    </row>
    <row r="224" spans="1:15" ht="15" hidden="1" customHeight="1" outlineLevel="1" x14ac:dyDescent="0.25">
      <c r="B224" s="20" t="s">
        <v>65</v>
      </c>
      <c r="C224" s="21" t="s">
        <v>84</v>
      </c>
      <c r="E224" s="7">
        <f>2*E205*E203+E206*E204</f>
        <v>5000</v>
      </c>
      <c r="F224" s="7">
        <f t="shared" ref="F224:M224" si="135">2*F205*F203+F206*F204</f>
        <v>5000</v>
      </c>
      <c r="G224" s="7">
        <f t="shared" si="135"/>
        <v>5000</v>
      </c>
      <c r="H224" s="7">
        <f t="shared" si="135"/>
        <v>4086.25</v>
      </c>
      <c r="I224" s="7">
        <f t="shared" si="135"/>
        <v>4086.25</v>
      </c>
      <c r="J224" s="7">
        <f t="shared" si="135"/>
        <v>2262.9310344827586</v>
      </c>
      <c r="K224" s="7">
        <f t="shared" si="135"/>
        <v>4086.25</v>
      </c>
      <c r="L224" s="7">
        <f t="shared" si="135"/>
        <v>2262.9310344827586</v>
      </c>
      <c r="M224" s="7">
        <f t="shared" si="135"/>
        <v>2262.9310344827586</v>
      </c>
      <c r="O224" s="20" t="s">
        <v>233</v>
      </c>
    </row>
    <row r="225" spans="1:15" ht="15" hidden="1" customHeight="1" outlineLevel="1" x14ac:dyDescent="0.25">
      <c r="B225" s="20" t="s">
        <v>427</v>
      </c>
      <c r="C225" s="21" t="s">
        <v>85</v>
      </c>
      <c r="E225" s="7">
        <f t="shared" ref="E225:M225" si="136">E65</f>
        <v>10</v>
      </c>
      <c r="F225" s="7">
        <f t="shared" si="136"/>
        <v>10</v>
      </c>
      <c r="G225" s="7">
        <f t="shared" si="136"/>
        <v>10</v>
      </c>
      <c r="H225" s="7">
        <f t="shared" si="136"/>
        <v>10</v>
      </c>
      <c r="I225" s="7">
        <f t="shared" si="136"/>
        <v>10</v>
      </c>
      <c r="J225" s="7">
        <f t="shared" si="136"/>
        <v>10</v>
      </c>
      <c r="K225" s="7">
        <f t="shared" si="136"/>
        <v>10</v>
      </c>
      <c r="L225" s="7">
        <f t="shared" si="136"/>
        <v>10</v>
      </c>
      <c r="M225" s="7">
        <f t="shared" si="136"/>
        <v>10</v>
      </c>
      <c r="O225" s="20" t="s">
        <v>0</v>
      </c>
    </row>
    <row r="226" spans="1:15" ht="15" hidden="1" customHeight="1" outlineLevel="1" x14ac:dyDescent="0.25">
      <c r="B226" s="20" t="s">
        <v>66</v>
      </c>
      <c r="C226" s="21" t="s">
        <v>86</v>
      </c>
      <c r="E226" s="48">
        <f>2*E205/12*E203^3+E206/12*E204^3+E224*(E254-E225)^2</f>
        <v>420666666.66666669</v>
      </c>
      <c r="F226" s="48">
        <f t="shared" ref="F226:M226" si="137">2*F205/12*F203^3+F206/12*F204^3+F224*(F254-F225)^2</f>
        <v>420666666.66666669</v>
      </c>
      <c r="G226" s="48">
        <f t="shared" si="137"/>
        <v>420666666.66666669</v>
      </c>
      <c r="H226" s="48">
        <f t="shared" si="137"/>
        <v>343768863.4847005</v>
      </c>
      <c r="I226" s="48">
        <f t="shared" si="137"/>
        <v>263877502.74672985</v>
      </c>
      <c r="J226" s="48">
        <f t="shared" si="137"/>
        <v>240415658.6029883</v>
      </c>
      <c r="K226" s="48">
        <f t="shared" si="137"/>
        <v>343768863.4847005</v>
      </c>
      <c r="L226" s="48">
        <f t="shared" si="137"/>
        <v>190327950.86123613</v>
      </c>
      <c r="M226" s="48">
        <f t="shared" si="137"/>
        <v>190327950.86123613</v>
      </c>
      <c r="O226" s="20" t="s">
        <v>373</v>
      </c>
    </row>
    <row r="227" spans="1:15" ht="15" hidden="1" customHeight="1" outlineLevel="1" x14ac:dyDescent="0.25">
      <c r="B227" s="20" t="s">
        <v>41</v>
      </c>
      <c r="C227" s="21" t="s">
        <v>90</v>
      </c>
      <c r="E227" s="7">
        <f>SUM(E232,E235,E238,E241,E244,E247)</f>
        <v>8960</v>
      </c>
      <c r="F227" s="7">
        <f t="shared" ref="F227:M227" si="138">SUM(F232,F235,F238,F241,F244,F247)</f>
        <v>8960</v>
      </c>
      <c r="G227" s="7">
        <f t="shared" si="138"/>
        <v>8353.3333333333321</v>
      </c>
      <c r="H227" s="7">
        <f t="shared" si="138"/>
        <v>8365</v>
      </c>
      <c r="I227" s="7">
        <f t="shared" si="138"/>
        <v>8365</v>
      </c>
      <c r="J227" s="7">
        <f t="shared" si="138"/>
        <v>8365</v>
      </c>
      <c r="K227" s="7">
        <f t="shared" si="138"/>
        <v>7476</v>
      </c>
      <c r="L227" s="7">
        <f t="shared" si="138"/>
        <v>7476</v>
      </c>
      <c r="M227" s="7">
        <f t="shared" si="138"/>
        <v>7476</v>
      </c>
      <c r="O227" s="20" t="s">
        <v>233</v>
      </c>
    </row>
    <row r="228" spans="1:15" ht="15" hidden="1" customHeight="1" outlineLevel="1" x14ac:dyDescent="0.25">
      <c r="B228" s="20" t="s">
        <v>428</v>
      </c>
      <c r="C228" s="21" t="s">
        <v>91</v>
      </c>
      <c r="E228" s="7">
        <f>(E232*E233+E235*E236+E238*E239+E241*E242+E244*E245+E247*E248)/E227</f>
        <v>300</v>
      </c>
      <c r="F228" s="7">
        <f t="shared" ref="F228:M228" si="139">(F232*F233+F235*F236+F238*F239+F241*F242+F244*F245+F247*F248)/F227</f>
        <v>300</v>
      </c>
      <c r="G228" s="7">
        <f t="shared" si="139"/>
        <v>300.00000000000006</v>
      </c>
      <c r="H228" s="7">
        <f t="shared" si="139"/>
        <v>300</v>
      </c>
      <c r="I228" s="7">
        <f t="shared" si="139"/>
        <v>300</v>
      </c>
      <c r="J228" s="7">
        <f t="shared" si="139"/>
        <v>300</v>
      </c>
      <c r="K228" s="7">
        <f t="shared" si="139"/>
        <v>300</v>
      </c>
      <c r="L228" s="7">
        <f t="shared" si="139"/>
        <v>300</v>
      </c>
      <c r="M228" s="7">
        <f t="shared" si="139"/>
        <v>300</v>
      </c>
      <c r="O228" s="20" t="s">
        <v>0</v>
      </c>
    </row>
    <row r="229" spans="1:15" ht="15" hidden="1" customHeight="1" outlineLevel="1" x14ac:dyDescent="0.25">
      <c r="B229" s="20" t="s">
        <v>69</v>
      </c>
      <c r="C229" s="21" t="s">
        <v>92</v>
      </c>
      <c r="E229" s="48">
        <f>SUM(E234,E237,E240,E243,E246,E249)</f>
        <v>234154666.66666666</v>
      </c>
      <c r="F229" s="48">
        <f t="shared" ref="F229:M229" si="140">SUM(F234,F237,F240,F243,F246,F249)</f>
        <v>234154666.66666666</v>
      </c>
      <c r="G229" s="48">
        <f t="shared" si="140"/>
        <v>214250944.44444445</v>
      </c>
      <c r="H229" s="48">
        <f t="shared" si="140"/>
        <v>193094708.33333331</v>
      </c>
      <c r="I229" s="48">
        <f t="shared" si="140"/>
        <v>203896978.87061432</v>
      </c>
      <c r="J229" s="48">
        <f t="shared" si="140"/>
        <v>203896978.87061426</v>
      </c>
      <c r="K229" s="48">
        <f t="shared" si="140"/>
        <v>158142208</v>
      </c>
      <c r="L229" s="48">
        <f t="shared" si="140"/>
        <v>158142208</v>
      </c>
      <c r="M229" s="48">
        <f t="shared" si="140"/>
        <v>158142208</v>
      </c>
      <c r="O229" s="20" t="s">
        <v>373</v>
      </c>
    </row>
    <row r="230" spans="1:15" ht="15" hidden="1" customHeight="1" outlineLevel="1" x14ac:dyDescent="0.25">
      <c r="C230" s="21"/>
      <c r="E230" s="50"/>
      <c r="F230" s="50"/>
      <c r="G230" s="50"/>
      <c r="H230" s="50"/>
      <c r="I230" s="50"/>
      <c r="J230" s="50"/>
      <c r="K230" s="50"/>
      <c r="L230" s="50"/>
      <c r="M230" s="50"/>
    </row>
    <row r="231" spans="1:15" ht="15" hidden="1" customHeight="1" outlineLevel="1" x14ac:dyDescent="0.25">
      <c r="A231" s="39" t="s">
        <v>349</v>
      </c>
      <c r="C231" s="40"/>
    </row>
    <row r="232" spans="1:15" ht="15" hidden="1" customHeight="1" outlineLevel="1" x14ac:dyDescent="0.25">
      <c r="B232" s="20" t="s">
        <v>321</v>
      </c>
      <c r="C232" s="21" t="s">
        <v>323</v>
      </c>
      <c r="E232" s="7">
        <f>E207*E213</f>
        <v>80</v>
      </c>
      <c r="F232" s="7">
        <f t="shared" ref="F232:M232" si="141">F207*F213</f>
        <v>80</v>
      </c>
      <c r="G232" s="7">
        <f t="shared" si="141"/>
        <v>80</v>
      </c>
      <c r="H232" s="7">
        <f t="shared" si="141"/>
        <v>37.5</v>
      </c>
      <c r="I232" s="7">
        <f t="shared" si="141"/>
        <v>37.5</v>
      </c>
      <c r="J232" s="7">
        <f t="shared" si="141"/>
        <v>37.5</v>
      </c>
      <c r="K232" s="7">
        <f t="shared" si="141"/>
        <v>46.875</v>
      </c>
      <c r="L232" s="7">
        <f t="shared" si="141"/>
        <v>46.875</v>
      </c>
      <c r="M232" s="7">
        <f t="shared" si="141"/>
        <v>46.875</v>
      </c>
      <c r="O232" s="20" t="s">
        <v>233</v>
      </c>
    </row>
    <row r="233" spans="1:15" ht="15" hidden="1" customHeight="1" outlineLevel="1" x14ac:dyDescent="0.25">
      <c r="B233" s="20" t="s">
        <v>154</v>
      </c>
      <c r="C233" s="21" t="s">
        <v>324</v>
      </c>
      <c r="E233" s="7">
        <f t="shared" ref="E233:M233" si="142">E35+E32-E213/2</f>
        <v>577.5</v>
      </c>
      <c r="F233" s="7">
        <f t="shared" si="142"/>
        <v>577.5</v>
      </c>
      <c r="G233" s="7">
        <f t="shared" si="142"/>
        <v>577.5</v>
      </c>
      <c r="H233" s="7">
        <f t="shared" si="142"/>
        <v>577.5</v>
      </c>
      <c r="I233" s="7">
        <f t="shared" si="142"/>
        <v>577.5</v>
      </c>
      <c r="J233" s="7">
        <f t="shared" si="142"/>
        <v>577.5</v>
      </c>
      <c r="K233" s="7">
        <f t="shared" si="142"/>
        <v>577.5</v>
      </c>
      <c r="L233" s="7">
        <f t="shared" si="142"/>
        <v>577.5</v>
      </c>
      <c r="M233" s="7">
        <f t="shared" si="142"/>
        <v>577.5</v>
      </c>
      <c r="O233" s="20" t="s">
        <v>0</v>
      </c>
    </row>
    <row r="234" spans="1:15" ht="15" hidden="1" customHeight="1" outlineLevel="1" x14ac:dyDescent="0.25">
      <c r="B234" s="20" t="s">
        <v>322</v>
      </c>
      <c r="C234" s="21" t="s">
        <v>325</v>
      </c>
      <c r="E234" s="48">
        <f>E207/12*E213^3+E232*(E233-E254)^2</f>
        <v>6160666.666666667</v>
      </c>
      <c r="F234" s="48">
        <f t="shared" ref="F234:M234" si="143">F207/12*F213^3+F232*(F233-F254)^2</f>
        <v>6160666.666666667</v>
      </c>
      <c r="G234" s="48">
        <f t="shared" si="143"/>
        <v>6160666.666666667</v>
      </c>
      <c r="H234" s="48">
        <f t="shared" si="143"/>
        <v>2887812.5</v>
      </c>
      <c r="I234" s="48">
        <f t="shared" si="143"/>
        <v>3684147.7731626946</v>
      </c>
      <c r="J234" s="48">
        <f t="shared" si="143"/>
        <v>2188329.6225690544</v>
      </c>
      <c r="K234" s="48">
        <f t="shared" si="143"/>
        <v>3609765.625</v>
      </c>
      <c r="L234" s="48">
        <f t="shared" si="143"/>
        <v>3609765.625</v>
      </c>
      <c r="M234" s="48">
        <f t="shared" si="143"/>
        <v>3609765.625</v>
      </c>
      <c r="O234" s="20" t="s">
        <v>373</v>
      </c>
    </row>
    <row r="235" spans="1:15" ht="15" hidden="1" customHeight="1" outlineLevel="1" x14ac:dyDescent="0.25">
      <c r="B235" s="20" t="s">
        <v>326</v>
      </c>
      <c r="C235" s="21" t="s">
        <v>327</v>
      </c>
      <c r="E235" s="7">
        <f>E208*E214</f>
        <v>8880</v>
      </c>
      <c r="F235" s="7">
        <f t="shared" ref="F235:M235" si="144">F208*F214</f>
        <v>3840</v>
      </c>
      <c r="G235" s="7">
        <f t="shared" si="144"/>
        <v>960</v>
      </c>
      <c r="H235" s="7">
        <f t="shared" si="144"/>
        <v>225</v>
      </c>
      <c r="I235" s="7">
        <f t="shared" si="144"/>
        <v>225</v>
      </c>
      <c r="J235" s="7">
        <f t="shared" si="144"/>
        <v>225</v>
      </c>
      <c r="K235" s="7">
        <f t="shared" si="144"/>
        <v>1003.125</v>
      </c>
      <c r="L235" s="7">
        <f t="shared" si="144"/>
        <v>1003.125</v>
      </c>
      <c r="M235" s="7">
        <f t="shared" si="144"/>
        <v>1003.125</v>
      </c>
      <c r="O235" s="20" t="s">
        <v>233</v>
      </c>
    </row>
    <row r="236" spans="1:15" ht="15" hidden="1" customHeight="1" outlineLevel="1" x14ac:dyDescent="0.25">
      <c r="B236" s="20" t="s">
        <v>155</v>
      </c>
      <c r="C236" s="21" t="s">
        <v>328</v>
      </c>
      <c r="E236" s="7">
        <f t="shared" ref="E236:M236" si="145">E35+E32-E213-E214/2</f>
        <v>297.5</v>
      </c>
      <c r="F236" s="7">
        <f t="shared" si="145"/>
        <v>455</v>
      </c>
      <c r="G236" s="7">
        <f t="shared" si="145"/>
        <v>545</v>
      </c>
      <c r="H236" s="7">
        <f t="shared" si="145"/>
        <v>560</v>
      </c>
      <c r="I236" s="7">
        <f t="shared" si="145"/>
        <v>560</v>
      </c>
      <c r="J236" s="7">
        <f t="shared" si="145"/>
        <v>560</v>
      </c>
      <c r="K236" s="7">
        <f t="shared" si="145"/>
        <v>521.5</v>
      </c>
      <c r="L236" s="7">
        <f t="shared" si="145"/>
        <v>521.5</v>
      </c>
      <c r="M236" s="7">
        <f t="shared" si="145"/>
        <v>521.5</v>
      </c>
      <c r="O236" s="20" t="s">
        <v>0</v>
      </c>
    </row>
    <row r="237" spans="1:15" ht="15" hidden="1" customHeight="1" outlineLevel="1" x14ac:dyDescent="0.25">
      <c r="B237" s="20" t="s">
        <v>329</v>
      </c>
      <c r="C237" s="21" t="s">
        <v>330</v>
      </c>
      <c r="E237" s="48">
        <f>E208/12*E214^3+E235*(E236-E254)^2</f>
        <v>227994000</v>
      </c>
      <c r="F237" s="48">
        <f t="shared" ref="F237:M237" si="146">F208/12*F214^3+F235*(F236-F254)^2</f>
        <v>110688000</v>
      </c>
      <c r="G237" s="48">
        <f t="shared" si="146"/>
        <v>57912000</v>
      </c>
      <c r="H237" s="48">
        <f t="shared" si="146"/>
        <v>15226875</v>
      </c>
      <c r="I237" s="48">
        <f t="shared" si="146"/>
        <v>19721894.015890885</v>
      </c>
      <c r="J237" s="48">
        <f t="shared" si="146"/>
        <v>11312970.358499611</v>
      </c>
      <c r="K237" s="48">
        <f t="shared" si="146"/>
        <v>50172634.375</v>
      </c>
      <c r="L237" s="48">
        <f t="shared" si="146"/>
        <v>50172634.375</v>
      </c>
      <c r="M237" s="48">
        <f t="shared" si="146"/>
        <v>50172634.375</v>
      </c>
      <c r="O237" s="20" t="s">
        <v>373</v>
      </c>
    </row>
    <row r="238" spans="1:15" ht="15" hidden="1" customHeight="1" outlineLevel="1" x14ac:dyDescent="0.25">
      <c r="B238" s="20" t="s">
        <v>331</v>
      </c>
      <c r="C238" s="21" t="s">
        <v>332</v>
      </c>
      <c r="E238" s="7">
        <f>E209*E215</f>
        <v>0</v>
      </c>
      <c r="F238" s="7">
        <f t="shared" ref="F238:M238" si="147">F209*F215</f>
        <v>1120</v>
      </c>
      <c r="G238" s="7">
        <f t="shared" si="147"/>
        <v>816.66666666666663</v>
      </c>
      <c r="H238" s="7">
        <f t="shared" si="147"/>
        <v>7840</v>
      </c>
      <c r="I238" s="7">
        <f t="shared" si="147"/>
        <v>7840</v>
      </c>
      <c r="J238" s="7">
        <f t="shared" si="147"/>
        <v>7840</v>
      </c>
      <c r="K238" s="7">
        <f t="shared" si="147"/>
        <v>1792</v>
      </c>
      <c r="L238" s="7">
        <f t="shared" si="147"/>
        <v>1792</v>
      </c>
      <c r="M238" s="7">
        <f t="shared" si="147"/>
        <v>1792</v>
      </c>
      <c r="O238" s="20" t="s">
        <v>233</v>
      </c>
    </row>
    <row r="239" spans="1:15" ht="15" hidden="1" customHeight="1" outlineLevel="1" x14ac:dyDescent="0.25">
      <c r="B239" s="20" t="s">
        <v>333</v>
      </c>
      <c r="C239" s="21" t="s">
        <v>334</v>
      </c>
      <c r="E239" s="7">
        <f t="shared" ref="E239:M239" si="148">E35+E32-E213-E214-E215/2</f>
        <v>20</v>
      </c>
      <c r="F239" s="7">
        <f t="shared" si="148"/>
        <v>300</v>
      </c>
      <c r="G239" s="7">
        <f t="shared" si="148"/>
        <v>480</v>
      </c>
      <c r="H239" s="7">
        <f t="shared" si="148"/>
        <v>300</v>
      </c>
      <c r="I239" s="7">
        <f t="shared" si="148"/>
        <v>300</v>
      </c>
      <c r="J239" s="7">
        <f t="shared" si="148"/>
        <v>300</v>
      </c>
      <c r="K239" s="7">
        <f t="shared" si="148"/>
        <v>412</v>
      </c>
      <c r="L239" s="7">
        <f t="shared" si="148"/>
        <v>412</v>
      </c>
      <c r="M239" s="7">
        <f t="shared" si="148"/>
        <v>412</v>
      </c>
      <c r="O239" s="20" t="s">
        <v>0</v>
      </c>
    </row>
    <row r="240" spans="1:15" ht="15" hidden="1" customHeight="1" outlineLevel="1" x14ac:dyDescent="0.25">
      <c r="B240" s="20" t="s">
        <v>335</v>
      </c>
      <c r="C240" s="21" t="s">
        <v>336</v>
      </c>
      <c r="E240" s="48">
        <f>E209/12*E215^3+E238*(E239-E254)^2</f>
        <v>0</v>
      </c>
      <c r="F240" s="48">
        <f t="shared" ref="F240:M240" si="149">F209/12*F215^3+F238*(F239-F254)^2</f>
        <v>457333.33333333331</v>
      </c>
      <c r="G240" s="48">
        <f t="shared" si="149"/>
        <v>26793472.222222224</v>
      </c>
      <c r="H240" s="48">
        <f t="shared" si="149"/>
        <v>156865333.33333331</v>
      </c>
      <c r="I240" s="48">
        <f t="shared" si="149"/>
        <v>166989637.10049206</v>
      </c>
      <c r="J240" s="48">
        <f t="shared" si="149"/>
        <v>166989637.10049203</v>
      </c>
      <c r="K240" s="48">
        <f t="shared" si="149"/>
        <v>24352085.333333332</v>
      </c>
      <c r="L240" s="48">
        <f t="shared" si="149"/>
        <v>24352085.333333332</v>
      </c>
      <c r="M240" s="48">
        <f t="shared" si="149"/>
        <v>24352085.333333332</v>
      </c>
      <c r="O240" s="20" t="s">
        <v>373</v>
      </c>
    </row>
    <row r="241" spans="1:15" ht="15" hidden="1" customHeight="1" outlineLevel="1" x14ac:dyDescent="0.25">
      <c r="B241" s="20" t="s">
        <v>337</v>
      </c>
      <c r="C241" s="21" t="s">
        <v>338</v>
      </c>
      <c r="E241" s="7">
        <f>E210*E216</f>
        <v>0</v>
      </c>
      <c r="F241" s="7">
        <f t="shared" ref="F241:M241" si="150">F210*F216</f>
        <v>3920</v>
      </c>
      <c r="G241" s="7">
        <f t="shared" si="150"/>
        <v>4640</v>
      </c>
      <c r="H241" s="7">
        <f t="shared" si="150"/>
        <v>262.5</v>
      </c>
      <c r="I241" s="7">
        <f t="shared" si="150"/>
        <v>262.5</v>
      </c>
      <c r="J241" s="7">
        <f t="shared" si="150"/>
        <v>262.5</v>
      </c>
      <c r="K241" s="7">
        <f t="shared" si="150"/>
        <v>1792</v>
      </c>
      <c r="L241" s="7">
        <f t="shared" si="150"/>
        <v>1792</v>
      </c>
      <c r="M241" s="7">
        <f t="shared" si="150"/>
        <v>1792</v>
      </c>
      <c r="O241" s="20" t="s">
        <v>233</v>
      </c>
    </row>
    <row r="242" spans="1:15" ht="15" hidden="1" customHeight="1" outlineLevel="1" x14ac:dyDescent="0.25">
      <c r="B242" s="20" t="s">
        <v>339</v>
      </c>
      <c r="C242" s="21" t="s">
        <v>340</v>
      </c>
      <c r="E242" s="7">
        <f t="shared" ref="E242:M242" si="151">E35+E32-E213-E214-E215-E216/2</f>
        <v>20</v>
      </c>
      <c r="F242" s="7">
        <f t="shared" si="151"/>
        <v>142.5</v>
      </c>
      <c r="G242" s="7">
        <f t="shared" si="151"/>
        <v>300</v>
      </c>
      <c r="H242" s="7">
        <f t="shared" si="151"/>
        <v>37.5</v>
      </c>
      <c r="I242" s="7">
        <f t="shared" si="151"/>
        <v>37.5</v>
      </c>
      <c r="J242" s="7">
        <f t="shared" si="151"/>
        <v>37.5</v>
      </c>
      <c r="K242" s="7">
        <f t="shared" si="151"/>
        <v>300</v>
      </c>
      <c r="L242" s="7">
        <f t="shared" si="151"/>
        <v>300</v>
      </c>
      <c r="M242" s="7">
        <f t="shared" si="151"/>
        <v>300</v>
      </c>
      <c r="O242" s="20" t="s">
        <v>0</v>
      </c>
    </row>
    <row r="243" spans="1:15" ht="15" hidden="1" customHeight="1" outlineLevel="1" x14ac:dyDescent="0.25">
      <c r="B243" s="20" t="s">
        <v>341</v>
      </c>
      <c r="C243" s="21" t="s">
        <v>342</v>
      </c>
      <c r="E243" s="48">
        <f>E210/12*E216^3+E241*(E242-E254)^2</f>
        <v>0</v>
      </c>
      <c r="F243" s="48">
        <f t="shared" ref="F243:M243" si="152">F210/12*F216^3+F241*(F242-F254)^2</f>
        <v>116848666.66666666</v>
      </c>
      <c r="G243" s="48">
        <f t="shared" si="152"/>
        <v>32518666.666666664</v>
      </c>
      <c r="H243" s="48">
        <f t="shared" si="152"/>
        <v>18114687.5</v>
      </c>
      <c r="I243" s="48">
        <f t="shared" si="152"/>
        <v>13501299.981068658</v>
      </c>
      <c r="J243" s="48">
        <f t="shared" si="152"/>
        <v>23406041.78905357</v>
      </c>
      <c r="K243" s="48">
        <f t="shared" si="152"/>
        <v>1873237.3333333333</v>
      </c>
      <c r="L243" s="48">
        <f t="shared" si="152"/>
        <v>1873237.3333333333</v>
      </c>
      <c r="M243" s="48">
        <f t="shared" si="152"/>
        <v>1873237.3333333333</v>
      </c>
      <c r="O243" s="20" t="s">
        <v>373</v>
      </c>
    </row>
    <row r="244" spans="1:15" ht="15" hidden="1" customHeight="1" outlineLevel="1" x14ac:dyDescent="0.25">
      <c r="B244" s="20" t="s">
        <v>343</v>
      </c>
      <c r="C244" s="21" t="s">
        <v>344</v>
      </c>
      <c r="E244" s="7">
        <f>E211*E217</f>
        <v>0</v>
      </c>
      <c r="F244" s="7">
        <f t="shared" ref="F244:M244" si="153">F211*F217</f>
        <v>0</v>
      </c>
      <c r="G244" s="7">
        <f t="shared" si="153"/>
        <v>816.66666666666663</v>
      </c>
      <c r="H244" s="7">
        <f t="shared" si="153"/>
        <v>0</v>
      </c>
      <c r="I244" s="7">
        <f t="shared" si="153"/>
        <v>0</v>
      </c>
      <c r="J244" s="7">
        <f t="shared" si="153"/>
        <v>0</v>
      </c>
      <c r="K244" s="7">
        <f t="shared" si="153"/>
        <v>1792</v>
      </c>
      <c r="L244" s="7">
        <f t="shared" si="153"/>
        <v>1792</v>
      </c>
      <c r="M244" s="7">
        <f t="shared" si="153"/>
        <v>1792</v>
      </c>
      <c r="O244" s="20" t="s">
        <v>233</v>
      </c>
    </row>
    <row r="245" spans="1:15" ht="15" hidden="1" customHeight="1" outlineLevel="1" x14ac:dyDescent="0.25">
      <c r="B245" s="20" t="s">
        <v>345</v>
      </c>
      <c r="C245" s="21" t="s">
        <v>346</v>
      </c>
      <c r="E245" s="7">
        <f t="shared" ref="E245:M245" si="154">E35+E32-E213-E214-E215-E216-E217/2</f>
        <v>20</v>
      </c>
      <c r="F245" s="7">
        <f t="shared" si="154"/>
        <v>20</v>
      </c>
      <c r="G245" s="7">
        <f t="shared" si="154"/>
        <v>120</v>
      </c>
      <c r="H245" s="7">
        <f t="shared" si="154"/>
        <v>20</v>
      </c>
      <c r="I245" s="7">
        <f t="shared" si="154"/>
        <v>20</v>
      </c>
      <c r="J245" s="7">
        <f t="shared" si="154"/>
        <v>20</v>
      </c>
      <c r="K245" s="7">
        <f t="shared" si="154"/>
        <v>188</v>
      </c>
      <c r="L245" s="7">
        <f t="shared" si="154"/>
        <v>188</v>
      </c>
      <c r="M245" s="7">
        <f t="shared" si="154"/>
        <v>188</v>
      </c>
      <c r="O245" s="20" t="s">
        <v>0</v>
      </c>
    </row>
    <row r="246" spans="1:15" ht="15" hidden="1" customHeight="1" outlineLevel="1" x14ac:dyDescent="0.25">
      <c r="B246" s="20" t="s">
        <v>347</v>
      </c>
      <c r="C246" s="21" t="s">
        <v>348</v>
      </c>
      <c r="E246" s="48">
        <f>E211/12*E217^3+E244*(E245-E254)^2</f>
        <v>0</v>
      </c>
      <c r="F246" s="48">
        <f t="shared" ref="F246:M246" si="155">F211/12*F217^3+F244*(F245-F254)^2</f>
        <v>0</v>
      </c>
      <c r="G246" s="48">
        <f t="shared" si="155"/>
        <v>26793472.222222224</v>
      </c>
      <c r="H246" s="48">
        <f t="shared" si="155"/>
        <v>0</v>
      </c>
      <c r="I246" s="48">
        <f t="shared" si="155"/>
        <v>0</v>
      </c>
      <c r="J246" s="48">
        <f t="shared" si="155"/>
        <v>0</v>
      </c>
      <c r="K246" s="48">
        <f t="shared" si="155"/>
        <v>24352085.333333332</v>
      </c>
      <c r="L246" s="48">
        <f t="shared" si="155"/>
        <v>24352085.333333332</v>
      </c>
      <c r="M246" s="48">
        <f t="shared" si="155"/>
        <v>24352085.333333332</v>
      </c>
      <c r="O246" s="20" t="s">
        <v>373</v>
      </c>
    </row>
    <row r="247" spans="1:15" ht="15" hidden="1" customHeight="1" outlineLevel="1" x14ac:dyDescent="0.25">
      <c r="B247" s="20" t="s">
        <v>420</v>
      </c>
      <c r="C247" s="21" t="s">
        <v>423</v>
      </c>
      <c r="E247" s="7">
        <f>E212*E218</f>
        <v>0</v>
      </c>
      <c r="F247" s="7">
        <f t="shared" ref="F247:M247" si="156">F212*F218</f>
        <v>0</v>
      </c>
      <c r="G247" s="7">
        <f t="shared" si="156"/>
        <v>1040</v>
      </c>
      <c r="H247" s="7">
        <f t="shared" si="156"/>
        <v>0</v>
      </c>
      <c r="I247" s="7">
        <f t="shared" si="156"/>
        <v>0</v>
      </c>
      <c r="J247" s="7">
        <f t="shared" si="156"/>
        <v>0</v>
      </c>
      <c r="K247" s="7">
        <f t="shared" si="156"/>
        <v>1050</v>
      </c>
      <c r="L247" s="7">
        <f t="shared" si="156"/>
        <v>1050</v>
      </c>
      <c r="M247" s="7">
        <f t="shared" si="156"/>
        <v>1050</v>
      </c>
      <c r="O247" s="20" t="s">
        <v>233</v>
      </c>
    </row>
    <row r="248" spans="1:15" ht="15" hidden="1" customHeight="1" outlineLevel="1" x14ac:dyDescent="0.25">
      <c r="B248" s="20" t="s">
        <v>421</v>
      </c>
      <c r="C248" s="21" t="s">
        <v>424</v>
      </c>
      <c r="E248" s="7">
        <f t="shared" ref="E248:M248" si="157">E35+E32-E213-E214-E215-E216-E217-E218/2</f>
        <v>20</v>
      </c>
      <c r="F248" s="7">
        <f t="shared" si="157"/>
        <v>20</v>
      </c>
      <c r="G248" s="7">
        <f t="shared" si="157"/>
        <v>52.5</v>
      </c>
      <c r="H248" s="7">
        <f t="shared" si="157"/>
        <v>20</v>
      </c>
      <c r="I248" s="7">
        <f t="shared" si="157"/>
        <v>20</v>
      </c>
      <c r="J248" s="7">
        <f t="shared" si="157"/>
        <v>20</v>
      </c>
      <c r="K248" s="7">
        <f t="shared" si="157"/>
        <v>76</v>
      </c>
      <c r="L248" s="7">
        <f t="shared" si="157"/>
        <v>76</v>
      </c>
      <c r="M248" s="7">
        <f t="shared" si="157"/>
        <v>76</v>
      </c>
      <c r="O248" s="20" t="s">
        <v>0</v>
      </c>
    </row>
    <row r="249" spans="1:15" ht="15" hidden="1" customHeight="1" outlineLevel="1" x14ac:dyDescent="0.25">
      <c r="B249" s="20" t="s">
        <v>422</v>
      </c>
      <c r="C249" s="21" t="s">
        <v>425</v>
      </c>
      <c r="E249" s="48">
        <f>E212/12*E218^3+E247*(E248-E254)^2</f>
        <v>0</v>
      </c>
      <c r="F249" s="48">
        <f t="shared" ref="F249:M249" si="158">F212/12*F218^3+F247*(F248-F254)^2</f>
        <v>0</v>
      </c>
      <c r="G249" s="48">
        <f t="shared" si="158"/>
        <v>64072666.666666664</v>
      </c>
      <c r="H249" s="48">
        <f t="shared" si="158"/>
        <v>0</v>
      </c>
      <c r="I249" s="48">
        <f t="shared" si="158"/>
        <v>0</v>
      </c>
      <c r="J249" s="48">
        <f t="shared" si="158"/>
        <v>0</v>
      </c>
      <c r="K249" s="48">
        <f t="shared" si="158"/>
        <v>53782400</v>
      </c>
      <c r="L249" s="48">
        <f t="shared" si="158"/>
        <v>53782400</v>
      </c>
      <c r="M249" s="48">
        <f t="shared" si="158"/>
        <v>53782400</v>
      </c>
      <c r="O249" s="20" t="s">
        <v>373</v>
      </c>
    </row>
    <row r="250" spans="1:15" ht="15" hidden="1" customHeight="1" outlineLevel="1" x14ac:dyDescent="0.25">
      <c r="C250" s="21"/>
      <c r="E250" s="48"/>
      <c r="F250" s="48"/>
      <c r="G250" s="48"/>
      <c r="H250" s="48"/>
      <c r="I250" s="48"/>
      <c r="J250" s="48"/>
      <c r="K250" s="48"/>
      <c r="L250" s="48"/>
      <c r="M250" s="48"/>
    </row>
    <row r="251" spans="1:15" ht="15" hidden="1" customHeight="1" outlineLevel="1" x14ac:dyDescent="0.25">
      <c r="A251" s="39" t="s">
        <v>27</v>
      </c>
      <c r="C251" s="40"/>
    </row>
    <row r="252" spans="1:15" ht="15" hidden="1" customHeight="1" outlineLevel="1" x14ac:dyDescent="0.25">
      <c r="B252" s="20" t="s">
        <v>71</v>
      </c>
      <c r="C252" s="21" t="s">
        <v>70</v>
      </c>
      <c r="E252" s="7">
        <f>E224+E221+E227</f>
        <v>18960</v>
      </c>
      <c r="F252" s="7">
        <f t="shared" ref="F252:M252" si="159">F224+F221+F227</f>
        <v>18960</v>
      </c>
      <c r="G252" s="7">
        <f t="shared" si="159"/>
        <v>18353.333333333332</v>
      </c>
      <c r="H252" s="7">
        <f t="shared" si="159"/>
        <v>16537.5</v>
      </c>
      <c r="I252" s="7">
        <f t="shared" si="159"/>
        <v>14714.181034482759</v>
      </c>
      <c r="J252" s="7">
        <f t="shared" si="159"/>
        <v>14714.181034482759</v>
      </c>
      <c r="K252" s="7">
        <f t="shared" si="159"/>
        <v>15648.5</v>
      </c>
      <c r="L252" s="7">
        <f t="shared" si="159"/>
        <v>12001.862068965518</v>
      </c>
      <c r="M252" s="7">
        <f t="shared" si="159"/>
        <v>12001.862068965518</v>
      </c>
      <c r="O252" s="20" t="s">
        <v>233</v>
      </c>
    </row>
    <row r="253" spans="1:15" ht="15" hidden="1" customHeight="1" outlineLevel="1" x14ac:dyDescent="0.25">
      <c r="B253" s="20" t="s">
        <v>73</v>
      </c>
      <c r="C253" s="21" t="s">
        <v>72</v>
      </c>
      <c r="E253" s="48">
        <f>E224*E225+E221*E222+E227*E228</f>
        <v>5688000</v>
      </c>
      <c r="F253" s="48">
        <f t="shared" ref="F253:M253" si="160">F224*F225+F221*F222+F227*F228</f>
        <v>5688000</v>
      </c>
      <c r="G253" s="48">
        <f t="shared" si="160"/>
        <v>5506000</v>
      </c>
      <c r="H253" s="48">
        <f t="shared" si="160"/>
        <v>4961250</v>
      </c>
      <c r="I253" s="48">
        <f t="shared" si="160"/>
        <v>3885491.8103448274</v>
      </c>
      <c r="J253" s="48">
        <f t="shared" si="160"/>
        <v>4943016.8103448274</v>
      </c>
      <c r="K253" s="48">
        <f t="shared" si="160"/>
        <v>4694550</v>
      </c>
      <c r="L253" s="48">
        <f t="shared" si="160"/>
        <v>3600558.6206896552</v>
      </c>
      <c r="M253" s="48">
        <f t="shared" si="160"/>
        <v>3600558.6206896552</v>
      </c>
      <c r="O253" s="20" t="s">
        <v>234</v>
      </c>
    </row>
    <row r="254" spans="1:15" ht="15" hidden="1" customHeight="1" outlineLevel="1" x14ac:dyDescent="0.25">
      <c r="B254" s="20" t="s">
        <v>62</v>
      </c>
      <c r="C254" s="21" t="s">
        <v>111</v>
      </c>
      <c r="E254" s="7">
        <f>E253/E252</f>
        <v>300</v>
      </c>
      <c r="F254" s="7">
        <f t="shared" ref="F254:M254" si="161">F253/F252</f>
        <v>300</v>
      </c>
      <c r="G254" s="7">
        <f t="shared" si="161"/>
        <v>300</v>
      </c>
      <c r="H254" s="7">
        <f t="shared" si="161"/>
        <v>300</v>
      </c>
      <c r="I254" s="7">
        <f t="shared" si="161"/>
        <v>264.06442881456718</v>
      </c>
      <c r="J254" s="7">
        <f t="shared" si="161"/>
        <v>335.93557118543276</v>
      </c>
      <c r="K254" s="7">
        <f t="shared" si="161"/>
        <v>300</v>
      </c>
      <c r="L254" s="7">
        <f t="shared" si="161"/>
        <v>300</v>
      </c>
      <c r="M254" s="7">
        <f t="shared" si="161"/>
        <v>300</v>
      </c>
      <c r="O254" s="20" t="s">
        <v>0</v>
      </c>
    </row>
    <row r="255" spans="1:15" ht="15" hidden="1" customHeight="1" outlineLevel="1" x14ac:dyDescent="0.25">
      <c r="B255" s="20" t="s">
        <v>75</v>
      </c>
      <c r="C255" s="21" t="s">
        <v>25</v>
      </c>
      <c r="E255" s="7">
        <f t="shared" ref="E255:M255" si="162">E29-E254</f>
        <v>300</v>
      </c>
      <c r="F255" s="7">
        <f t="shared" si="162"/>
        <v>300</v>
      </c>
      <c r="G255" s="7">
        <f t="shared" si="162"/>
        <v>300</v>
      </c>
      <c r="H255" s="7">
        <f t="shared" si="162"/>
        <v>300</v>
      </c>
      <c r="I255" s="7">
        <f t="shared" si="162"/>
        <v>335.93557118543282</v>
      </c>
      <c r="J255" s="7">
        <f t="shared" si="162"/>
        <v>264.06442881456724</v>
      </c>
      <c r="K255" s="7">
        <f t="shared" si="162"/>
        <v>300</v>
      </c>
      <c r="L255" s="7">
        <f t="shared" si="162"/>
        <v>300</v>
      </c>
      <c r="M255" s="7">
        <f t="shared" si="162"/>
        <v>300</v>
      </c>
      <c r="O255" s="20" t="s">
        <v>0</v>
      </c>
    </row>
    <row r="256" spans="1:15" ht="15" hidden="1" customHeight="1" outlineLevel="1" x14ac:dyDescent="0.25">
      <c r="B256" s="20" t="s">
        <v>74</v>
      </c>
      <c r="C256" s="21" t="s">
        <v>26</v>
      </c>
      <c r="E256" s="7">
        <f>E254</f>
        <v>300</v>
      </c>
      <c r="F256" s="7">
        <f t="shared" ref="F256:M256" si="163">F254</f>
        <v>300</v>
      </c>
      <c r="G256" s="7">
        <f t="shared" si="163"/>
        <v>300</v>
      </c>
      <c r="H256" s="7">
        <f t="shared" si="163"/>
        <v>300</v>
      </c>
      <c r="I256" s="7">
        <f t="shared" si="163"/>
        <v>264.06442881456718</v>
      </c>
      <c r="J256" s="7">
        <f t="shared" si="163"/>
        <v>335.93557118543276</v>
      </c>
      <c r="K256" s="7">
        <f t="shared" si="163"/>
        <v>300</v>
      </c>
      <c r="L256" s="7">
        <f t="shared" si="163"/>
        <v>300</v>
      </c>
      <c r="M256" s="7">
        <f t="shared" si="163"/>
        <v>300</v>
      </c>
      <c r="O256" s="20" t="s">
        <v>0</v>
      </c>
    </row>
    <row r="257" spans="1:16" ht="15" hidden="1" customHeight="1" outlineLevel="1" x14ac:dyDescent="0.25">
      <c r="B257" s="20" t="s">
        <v>32</v>
      </c>
      <c r="C257" s="21" t="s">
        <v>76</v>
      </c>
      <c r="E257" s="48">
        <f>E226+E223+E229</f>
        <v>1075488000</v>
      </c>
      <c r="F257" s="48">
        <f t="shared" ref="F257:M257" si="164">F226+F223+F229</f>
        <v>1075488000</v>
      </c>
      <c r="G257" s="48">
        <f t="shared" si="164"/>
        <v>1055584277.7777778</v>
      </c>
      <c r="H257" s="48">
        <f t="shared" si="164"/>
        <v>880632435.30273438</v>
      </c>
      <c r="I257" s="48">
        <f t="shared" si="164"/>
        <v>708190140.22033262</v>
      </c>
      <c r="J257" s="48">
        <f t="shared" si="164"/>
        <v>708190140.2203325</v>
      </c>
      <c r="K257" s="48">
        <f t="shared" si="164"/>
        <v>845679934.969401</v>
      </c>
      <c r="L257" s="48">
        <f t="shared" si="164"/>
        <v>538798109.72247219</v>
      </c>
      <c r="M257" s="48">
        <f t="shared" si="164"/>
        <v>538798109.72247219</v>
      </c>
      <c r="O257" s="20" t="s">
        <v>373</v>
      </c>
    </row>
    <row r="258" spans="1:16" ht="15" hidden="1" customHeight="1" outlineLevel="1" x14ac:dyDescent="0.25">
      <c r="B258" s="20" t="s">
        <v>77</v>
      </c>
      <c r="C258" s="21" t="s">
        <v>12</v>
      </c>
      <c r="E258" s="48">
        <f>E257/E256</f>
        <v>3584960</v>
      </c>
      <c r="F258" s="48">
        <f t="shared" ref="F258:M258" si="165">F257/F256</f>
        <v>3584960</v>
      </c>
      <c r="G258" s="48">
        <f t="shared" si="165"/>
        <v>3518614.2592592593</v>
      </c>
      <c r="H258" s="48">
        <f t="shared" si="165"/>
        <v>2935441.4510091147</v>
      </c>
      <c r="I258" s="48">
        <f t="shared" si="165"/>
        <v>2681883.9000751665</v>
      </c>
      <c r="J258" s="48">
        <f t="shared" si="165"/>
        <v>2108112.9864316136</v>
      </c>
      <c r="K258" s="48">
        <f t="shared" si="165"/>
        <v>2818933.1165646701</v>
      </c>
      <c r="L258" s="48">
        <f t="shared" si="165"/>
        <v>1795993.6990749072</v>
      </c>
      <c r="M258" s="48">
        <f t="shared" si="165"/>
        <v>1795993.6990749072</v>
      </c>
      <c r="O258" s="20" t="s">
        <v>234</v>
      </c>
    </row>
    <row r="259" spans="1:16" ht="15" hidden="1" customHeight="1" outlineLevel="1" x14ac:dyDescent="0.25">
      <c r="B259" s="20" t="s">
        <v>78</v>
      </c>
      <c r="C259" s="21" t="s">
        <v>10</v>
      </c>
      <c r="E259" s="48">
        <f>E257/E255</f>
        <v>3584960</v>
      </c>
      <c r="F259" s="48">
        <f t="shared" ref="F259:M259" si="166">F257/F255</f>
        <v>3584960</v>
      </c>
      <c r="G259" s="48">
        <f t="shared" si="166"/>
        <v>3518614.2592592593</v>
      </c>
      <c r="H259" s="48">
        <f t="shared" si="166"/>
        <v>2935441.4510091147</v>
      </c>
      <c r="I259" s="48">
        <f t="shared" si="166"/>
        <v>2108112.9864316136</v>
      </c>
      <c r="J259" s="48">
        <f t="shared" si="166"/>
        <v>2681883.9000751656</v>
      </c>
      <c r="K259" s="48">
        <f t="shared" si="166"/>
        <v>2818933.1165646701</v>
      </c>
      <c r="L259" s="48">
        <f t="shared" si="166"/>
        <v>1795993.6990749072</v>
      </c>
      <c r="M259" s="48">
        <f t="shared" si="166"/>
        <v>1795993.6990749072</v>
      </c>
      <c r="O259" s="20" t="s">
        <v>234</v>
      </c>
    </row>
    <row r="260" spans="1:16" ht="15" hidden="1" customHeight="1" outlineLevel="1" x14ac:dyDescent="0.25">
      <c r="B260" s="20" t="s">
        <v>318</v>
      </c>
      <c r="C260" s="21" t="s">
        <v>319</v>
      </c>
      <c r="E260" s="45">
        <f>IF(E224+E247+E244+E241+E238+E235&lt;E232+E221,1,
IF(E224+E247+E244+E241+E238&lt;E235+E232+E221,2,
IF(E224+E247+E244+E241&lt;E238+E235+E232+E221,3,
IF(E224+E247+E244&lt;E241+E238+E235+E232+E221,4,
IF(E224+E247&lt;E244+E241+E238+E235+E232+E221,5,6)))))</f>
        <v>2</v>
      </c>
      <c r="F260" s="45">
        <f t="shared" ref="F260:M260" si="167">IF(F224+F247+F244+F241+F238+F235&lt;F232+F221,1,
IF(F224+F247+F244+F241+F238&lt;F235+F232+F221,2,
IF(F224+F247+F244+F241&lt;F238+F235+F232+F221,3,
IF(F224+F247+F244&lt;F241+F238+F235+F232+F221,4,
IF(F224+F247&lt;F244+F241+F238+F235+F232+F221,5,6)))))</f>
        <v>3</v>
      </c>
      <c r="G260" s="45">
        <f t="shared" si="167"/>
        <v>4</v>
      </c>
      <c r="H260" s="45">
        <f t="shared" si="167"/>
        <v>3</v>
      </c>
      <c r="I260" s="45">
        <f t="shared" si="167"/>
        <v>3</v>
      </c>
      <c r="J260" s="45">
        <f t="shared" si="167"/>
        <v>3</v>
      </c>
      <c r="K260" s="45">
        <f t="shared" si="167"/>
        <v>4</v>
      </c>
      <c r="L260" s="45">
        <f t="shared" si="167"/>
        <v>4</v>
      </c>
      <c r="M260" s="45">
        <f t="shared" si="167"/>
        <v>4</v>
      </c>
    </row>
    <row r="261" spans="1:16" ht="15" hidden="1" customHeight="1" outlineLevel="1" x14ac:dyDescent="0.3">
      <c r="B261" s="20" t="s">
        <v>64</v>
      </c>
      <c r="C261" s="21" t="s">
        <v>375</v>
      </c>
      <c r="E261" s="45">
        <f>IF(E260=1,(E221-E224-E247-E244-E241-E238-E235)/2/E207+E233,
IF(E260=2,(E221-E224-E247-E244-E241-E238+E232)/2/E208+E236,
IF(E260=3,(E221-E224-E247-E244-E241+E235+E232)/2/E209+E239,
IF(E260=4,(E221-E224-E247-E244+E238+E235+E232)/2/E210+E242,
IF(E260=5,(E221-E224-E247+E241+E238+E235+E232)/2/E211+E245,
IF(E260=6,(E221-E224+E244+E241+E238+E235+E232)/2/E212+E248,))))))</f>
        <v>300</v>
      </c>
      <c r="F261" s="45">
        <f t="shared" ref="F261:M261" si="168">IF(F260=1,(F221-F224-F247-F244-F241-F238-F235)/2/F207+F233,
IF(F260=2,(F221-F224-F247-F244-F241-F238+F232)/2/F208+F236,
IF(F260=3,(F221-F224-F247-F244-F241+F235+F232)/2/F209+F239,
IF(F260=4,(F221-F224-F247-F244+F238+F235+F232)/2/F210+F242,
IF(F260=5,(F221-F224-F247+F241+F238+F235+F232)/2/F211+F245,
IF(F260=6,(F221-F224+F244+F241+F238+F235+F232)/2/F212+F248,))))))</f>
        <v>300</v>
      </c>
      <c r="G261" s="45">
        <f t="shared" si="168"/>
        <v>300</v>
      </c>
      <c r="H261" s="45">
        <f t="shared" si="168"/>
        <v>300</v>
      </c>
      <c r="I261" s="45">
        <f t="shared" si="168"/>
        <v>243.02128232758622</v>
      </c>
      <c r="J261" s="45">
        <f t="shared" si="168"/>
        <v>356.97871767241378</v>
      </c>
      <c r="K261" s="45">
        <f t="shared" si="168"/>
        <v>300</v>
      </c>
      <c r="L261" s="45">
        <f t="shared" si="168"/>
        <v>300</v>
      </c>
      <c r="M261" s="45">
        <f t="shared" si="168"/>
        <v>300</v>
      </c>
      <c r="O261" s="20" t="s">
        <v>0</v>
      </c>
      <c r="P261" s="20" t="s">
        <v>159</v>
      </c>
    </row>
    <row r="262" spans="1:16" ht="15" hidden="1" customHeight="1" outlineLevel="1" x14ac:dyDescent="0.25">
      <c r="B262" s="20" t="s">
        <v>63</v>
      </c>
      <c r="C262" s="21" t="s">
        <v>80</v>
      </c>
      <c r="E262" s="56">
        <f>IF(E260=1,E224*(E261-E225)+E221*(E222-E261)+E207*(E233+E213/2-E261)^2/2+E207*(E261-E233+E213/2)^2/2+E235*(E261-E236)+E238*(E261-E239)+E241*(E261-E242)+E244*(E261-E245)+E247*(E261-E248),
IF(E260=2,E224*(E261-E225)+E221*(E222-E261)+E208*(E236+E214/2-E261)^2/2+E208*(E261-E236+E214/2)^2/2+E232*(E233-E261)+E238*(E261-E239)+E241*(E261-E242)+E244*(E261-E245)+E247*(E261-E248),
IF(E260=3,E224*(E261-E225)+E221*(E222-E261)+E209*(E239+E215/2-E261)^2/2+E209*(E261-E239+E215/2)^2/2+E232*(E233-E261)+E235*(E236-E261)+E241*(E261-E242)+E244*(E261-E245)+E247*(E261-E248),
IF(E260=4,E224*(E261-E225)+E221*(E222-E261)+E210*(E242+E216/2-E261)^2/2+E210*(E261-E242+E216/2)^2/2+E232*(E233-E261)+E235*(E236-E261)+E238*(E239-E261)+E244*(E261-E245)+E247*(E261-E248),
IF(E260=5,E224*(E261-E225)+E221*(E222-E261)+E211*(E245+E217/2-E261)^2/2+E211*(E261-E245+E217/2)^2/2+E232*(E233-E261)+E235*(E236-E261)+E238*(E239-E261)+E241*(E242-E261)+E247*(E261-E248),
IF(E260=6,E224*(E261-E225)+E221*(E222-E261)+E212*(E248+E218/2-E261)^2/2+E212*(E261-E248+E218/2)^2/2+E232*(E233-E261)+E235*(E236-E261)+E238*(E239-E261)+E241*(E242-E261)+E244*(E261-E245)))))))</f>
        <v>4154400</v>
      </c>
      <c r="F262" s="56">
        <f t="shared" ref="F262:M262" si="169">IF(F260=1,F224*(F261-F225)+F221*(F222-F261)+F207*(F233+F213/2-F261)^2/2+F207*(F261-F233+F213/2)^2/2+F235*(F261-F236)+F238*(F261-F239)+F241*(F261-F242)+F244*(F261-F245)+F247*(F261-F248),
IF(F260=2,F224*(F261-F225)+F221*(F222-F261)+F208*(F236+F214/2-F261)^2/2+F208*(F261-F236+F214/2)^2/2+F232*(F233-F261)+F238*(F261-F239)+F241*(F261-F242)+F244*(F261-F245)+F247*(F261-F248),
IF(F260=3,F224*(F261-F225)+F221*(F222-F261)+F209*(F239+F215/2-F261)^2/2+F209*(F261-F239+F215/2)^2/2+F232*(F233-F261)+F235*(F236-F261)+F241*(F261-F242)+F244*(F261-F245)+F247*(F261-F248),
IF(F260=4,F224*(F261-F225)+F221*(F222-F261)+F210*(F242+F216/2-F261)^2/2+F210*(F261-F242+F216/2)^2/2+F232*(F233-F261)+F235*(F236-F261)+F238*(F239-F261)+F244*(F261-F245)+F247*(F261-F248),
IF(F260=5,F224*(F261-F225)+F221*(F222-F261)+F211*(F245+F217/2-F261)^2/2+F211*(F261-F245+F217/2)^2/2+F232*(F233-F261)+F235*(F236-F261)+F238*(F239-F261)+F241*(F242-F261)+F247*(F261-F248),
IF(F260=6,F224*(F261-F225)+F221*(F222-F261)+F212*(F248+F218/2-F261)^2/2+F212*(F261-F248+F218/2)^2/2+F232*(F233-F261)+F235*(F236-F261)+F238*(F239-F261)+F241*(F242-F261)+F244*(F261-F245)))))))</f>
        <v>4154400</v>
      </c>
      <c r="G262" s="56">
        <f t="shared" si="169"/>
        <v>4045200</v>
      </c>
      <c r="H262" s="56">
        <f t="shared" si="169"/>
        <v>3468237.5</v>
      </c>
      <c r="I262" s="56">
        <f t="shared" si="169"/>
        <v>2887529.8117185174</v>
      </c>
      <c r="J262" s="56">
        <f t="shared" si="169"/>
        <v>2887529.8117185174</v>
      </c>
      <c r="K262" s="56">
        <f t="shared" si="169"/>
        <v>3292009</v>
      </c>
      <c r="L262" s="56">
        <f t="shared" si="169"/>
        <v>2234484</v>
      </c>
      <c r="M262" s="56">
        <f t="shared" si="169"/>
        <v>2234484</v>
      </c>
      <c r="O262" s="20" t="s">
        <v>234</v>
      </c>
      <c r="P262" s="20" t="s">
        <v>159</v>
      </c>
    </row>
    <row r="263" spans="1:16" ht="15" customHeight="1" collapsed="1" x14ac:dyDescent="0.3">
      <c r="A263" s="37"/>
      <c r="C263" s="21"/>
    </row>
    <row r="264" spans="1:16" ht="15" customHeight="1" x14ac:dyDescent="0.3">
      <c r="A264" s="37"/>
      <c r="C264" s="21"/>
    </row>
    <row r="265" spans="1:16" ht="15" customHeight="1" x14ac:dyDescent="0.3">
      <c r="A265" s="37" t="s">
        <v>461</v>
      </c>
      <c r="C265" s="21"/>
      <c r="P265" s="20" t="s">
        <v>505</v>
      </c>
    </row>
    <row r="266" spans="1:16" ht="15" hidden="1" customHeight="1" outlineLevel="1" x14ac:dyDescent="0.3">
      <c r="A266" s="37"/>
      <c r="C266" s="21"/>
    </row>
    <row r="267" spans="1:16" ht="15" hidden="1" customHeight="1" outlineLevel="1" x14ac:dyDescent="0.25">
      <c r="A267" s="39" t="s">
        <v>440</v>
      </c>
      <c r="C267" s="21"/>
      <c r="P267" s="20" t="s">
        <v>506</v>
      </c>
    </row>
    <row r="268" spans="1:16" ht="15" hidden="1" customHeight="1" outlineLevel="1" x14ac:dyDescent="0.3">
      <c r="A268" s="38"/>
      <c r="B268" s="43" t="s">
        <v>432</v>
      </c>
      <c r="C268" s="1"/>
      <c r="D268" s="41"/>
      <c r="E268" s="78">
        <f>SQRT(E271)</f>
        <v>1</v>
      </c>
      <c r="F268" s="78">
        <f t="shared" ref="F268:M268" si="170">SQRT(F271)</f>
        <v>1</v>
      </c>
      <c r="G268" s="78">
        <f t="shared" si="170"/>
        <v>1</v>
      </c>
      <c r="H268" s="78">
        <f t="shared" si="170"/>
        <v>1</v>
      </c>
      <c r="I268" s="78">
        <f t="shared" si="170"/>
        <v>1</v>
      </c>
      <c r="J268" s="78">
        <f t="shared" si="170"/>
        <v>1</v>
      </c>
      <c r="K268" s="78">
        <f t="shared" si="170"/>
        <v>1</v>
      </c>
      <c r="L268" s="78">
        <f t="shared" si="170"/>
        <v>1</v>
      </c>
      <c r="M268" s="78">
        <f t="shared" si="170"/>
        <v>1</v>
      </c>
      <c r="N268" s="41"/>
      <c r="O268" s="43"/>
      <c r="P268" s="20" t="s">
        <v>506</v>
      </c>
    </row>
    <row r="269" spans="1:16" ht="15" hidden="1" customHeight="1" outlineLevel="1" x14ac:dyDescent="0.3">
      <c r="A269" s="37"/>
      <c r="C269" s="21"/>
    </row>
    <row r="270" spans="1:16" ht="15" hidden="1" customHeight="1" outlineLevel="1" x14ac:dyDescent="0.25">
      <c r="A270" s="39" t="s">
        <v>437</v>
      </c>
      <c r="C270" s="21"/>
      <c r="P270" s="20" t="s">
        <v>507</v>
      </c>
    </row>
    <row r="271" spans="1:16" ht="15" hidden="1" customHeight="1" outlineLevel="1" x14ac:dyDescent="0.25">
      <c r="A271" s="38"/>
      <c r="B271" s="43" t="s">
        <v>56</v>
      </c>
      <c r="C271" s="1"/>
      <c r="D271" s="41"/>
      <c r="E271" s="40">
        <f>MIN(1,E272-SQRT(E272^2-1/E275^2))</f>
        <v>1</v>
      </c>
      <c r="F271" s="40">
        <f t="shared" ref="F271:M271" si="171">MIN(1,F272-SQRT(F272^2-1/F275^2))</f>
        <v>1</v>
      </c>
      <c r="G271" s="40">
        <f t="shared" si="171"/>
        <v>1</v>
      </c>
      <c r="H271" s="40">
        <f t="shared" si="171"/>
        <v>1</v>
      </c>
      <c r="I271" s="40">
        <f t="shared" si="171"/>
        <v>1</v>
      </c>
      <c r="J271" s="40">
        <f t="shared" si="171"/>
        <v>1</v>
      </c>
      <c r="K271" s="40">
        <f t="shared" si="171"/>
        <v>1</v>
      </c>
      <c r="L271" s="40">
        <f t="shared" si="171"/>
        <v>1</v>
      </c>
      <c r="M271" s="40">
        <f t="shared" si="171"/>
        <v>1</v>
      </c>
      <c r="N271" s="41"/>
      <c r="O271" s="43"/>
      <c r="P271" s="20" t="s">
        <v>500</v>
      </c>
    </row>
    <row r="272" spans="1:16" ht="15" hidden="1" customHeight="1" outlineLevel="1" x14ac:dyDescent="0.25">
      <c r="A272" s="38"/>
      <c r="B272" s="43" t="s">
        <v>57</v>
      </c>
      <c r="C272" s="1"/>
      <c r="D272" s="41"/>
      <c r="E272" s="51">
        <f>(1+E273*(E275-E274)+E275^2)/(2*E275^2)</f>
        <v>7330.2400265685565</v>
      </c>
      <c r="F272" s="51">
        <f t="shared" ref="F272:M272" si="172">(1+F273*(F275-F274)+F275^2)/(2*F275^2)</f>
        <v>6529.9927575502006</v>
      </c>
      <c r="G272" s="51">
        <f t="shared" si="172"/>
        <v>6529.9927575502006</v>
      </c>
      <c r="H272" s="51">
        <f t="shared" si="172"/>
        <v>6529.9927575502006</v>
      </c>
      <c r="I272" s="51">
        <f t="shared" si="172"/>
        <v>6529.9927575502006</v>
      </c>
      <c r="J272" s="51">
        <f t="shared" si="172"/>
        <v>6529.9927575502006</v>
      </c>
      <c r="K272" s="51">
        <f t="shared" si="172"/>
        <v>6529.9927575502006</v>
      </c>
      <c r="L272" s="51">
        <f t="shared" si="172"/>
        <v>6529.9927575502006</v>
      </c>
      <c r="M272" s="51">
        <f t="shared" si="172"/>
        <v>6529.9927575502006</v>
      </c>
      <c r="N272" s="41"/>
      <c r="O272" s="43"/>
      <c r="P272" s="20" t="s">
        <v>500</v>
      </c>
    </row>
    <row r="273" spans="1:16" ht="15" hidden="1" customHeight="1" outlineLevel="1" x14ac:dyDescent="0.25">
      <c r="A273" s="38"/>
      <c r="C273" s="1" t="s">
        <v>205</v>
      </c>
      <c r="D273" s="41"/>
      <c r="E273" s="66">
        <f t="shared" ref="E273:M273" si="173">E48</f>
        <v>0.2</v>
      </c>
      <c r="F273" s="66">
        <f t="shared" si="173"/>
        <v>0.4</v>
      </c>
      <c r="G273" s="66">
        <f t="shared" si="173"/>
        <v>0.4</v>
      </c>
      <c r="H273" s="66">
        <f t="shared" si="173"/>
        <v>0.4</v>
      </c>
      <c r="I273" s="66">
        <f t="shared" si="173"/>
        <v>0.4</v>
      </c>
      <c r="J273" s="66">
        <f t="shared" si="173"/>
        <v>0.4</v>
      </c>
      <c r="K273" s="66">
        <f t="shared" si="173"/>
        <v>0.4</v>
      </c>
      <c r="L273" s="66">
        <f t="shared" si="173"/>
        <v>0.4</v>
      </c>
      <c r="M273" s="66">
        <f t="shared" si="173"/>
        <v>0.4</v>
      </c>
      <c r="N273" s="41"/>
      <c r="O273" s="43"/>
      <c r="P273" s="20" t="s">
        <v>500</v>
      </c>
    </row>
    <row r="274" spans="1:16" ht="15" hidden="1" customHeight="1" outlineLevel="1" x14ac:dyDescent="0.25">
      <c r="A274" s="38"/>
      <c r="C274" s="1" t="s">
        <v>51</v>
      </c>
      <c r="D274" s="41"/>
      <c r="E274" s="11">
        <v>0.5</v>
      </c>
      <c r="F274" s="11">
        <v>0.5</v>
      </c>
      <c r="G274" s="11">
        <v>0.5</v>
      </c>
      <c r="H274" s="11">
        <v>0.5</v>
      </c>
      <c r="I274" s="11">
        <v>0.5</v>
      </c>
      <c r="J274" s="11">
        <v>0.5</v>
      </c>
      <c r="K274" s="11">
        <v>0.5</v>
      </c>
      <c r="L274" s="11">
        <v>0.5</v>
      </c>
      <c r="M274" s="11">
        <v>0.5</v>
      </c>
      <c r="N274" s="41"/>
      <c r="O274" s="43"/>
      <c r="P274" s="20" t="s">
        <v>500</v>
      </c>
    </row>
    <row r="275" spans="1:16" ht="15" hidden="1" customHeight="1" outlineLevel="1" x14ac:dyDescent="0.25">
      <c r="A275" s="38"/>
      <c r="B275" s="43" t="s">
        <v>121</v>
      </c>
      <c r="C275" s="1"/>
      <c r="D275" s="41"/>
      <c r="E275" s="51">
        <f>E278/PI()*SQRT(E276/E277)</f>
        <v>7.8422389093137888E-3</v>
      </c>
      <c r="F275" s="51">
        <f t="shared" ref="F275:M275" si="174">F278/PI()*SQRT(F276/F277)</f>
        <v>7.8422389093137888E-3</v>
      </c>
      <c r="G275" s="51">
        <f t="shared" si="174"/>
        <v>7.8422389093137888E-3</v>
      </c>
      <c r="H275" s="51">
        <f t="shared" si="174"/>
        <v>7.8422389093137888E-3</v>
      </c>
      <c r="I275" s="51">
        <f t="shared" si="174"/>
        <v>7.8422389093137888E-3</v>
      </c>
      <c r="J275" s="51">
        <f t="shared" si="174"/>
        <v>7.8422389093137888E-3</v>
      </c>
      <c r="K275" s="51">
        <f t="shared" si="174"/>
        <v>7.8422389093137888E-3</v>
      </c>
      <c r="L275" s="51">
        <f t="shared" si="174"/>
        <v>7.8422389093137888E-3</v>
      </c>
      <c r="M275" s="51">
        <f t="shared" si="174"/>
        <v>7.8422389093137888E-3</v>
      </c>
      <c r="N275" s="41"/>
      <c r="O275" s="43"/>
      <c r="P275" s="20" t="s">
        <v>508</v>
      </c>
    </row>
    <row r="276" spans="1:16" ht="15" hidden="1" customHeight="1" outlineLevel="1" x14ac:dyDescent="0.25">
      <c r="A276" s="38"/>
      <c r="C276" s="1" t="s">
        <v>119</v>
      </c>
      <c r="D276" s="41"/>
      <c r="E276" s="61">
        <f t="shared" ref="E276:M276" si="175">E22</f>
        <v>240</v>
      </c>
      <c r="F276" s="61">
        <f t="shared" si="175"/>
        <v>240</v>
      </c>
      <c r="G276" s="61">
        <f t="shared" si="175"/>
        <v>240</v>
      </c>
      <c r="H276" s="61">
        <f t="shared" si="175"/>
        <v>240</v>
      </c>
      <c r="I276" s="61">
        <f t="shared" si="175"/>
        <v>240</v>
      </c>
      <c r="J276" s="61">
        <f t="shared" si="175"/>
        <v>240</v>
      </c>
      <c r="K276" s="61">
        <f t="shared" si="175"/>
        <v>240</v>
      </c>
      <c r="L276" s="61">
        <f t="shared" si="175"/>
        <v>240</v>
      </c>
      <c r="M276" s="61">
        <f t="shared" si="175"/>
        <v>240</v>
      </c>
      <c r="N276" s="41"/>
      <c r="O276" s="43" t="s">
        <v>8</v>
      </c>
      <c r="P276" s="20" t="s">
        <v>509</v>
      </c>
    </row>
    <row r="277" spans="1:16" ht="15" hidden="1" customHeight="1" outlineLevel="1" x14ac:dyDescent="0.25">
      <c r="A277" s="38"/>
      <c r="C277" s="1" t="s">
        <v>30</v>
      </c>
      <c r="D277" s="41"/>
      <c r="E277" s="57">
        <f t="shared" ref="E277:M277" si="176">E25</f>
        <v>70000</v>
      </c>
      <c r="F277" s="57">
        <f t="shared" si="176"/>
        <v>70000</v>
      </c>
      <c r="G277" s="57">
        <f t="shared" si="176"/>
        <v>70000</v>
      </c>
      <c r="H277" s="57">
        <f t="shared" si="176"/>
        <v>70000</v>
      </c>
      <c r="I277" s="57">
        <f t="shared" si="176"/>
        <v>70000</v>
      </c>
      <c r="J277" s="57">
        <f t="shared" si="176"/>
        <v>70000</v>
      </c>
      <c r="K277" s="57">
        <f t="shared" si="176"/>
        <v>70000</v>
      </c>
      <c r="L277" s="57">
        <f t="shared" si="176"/>
        <v>70000</v>
      </c>
      <c r="M277" s="57">
        <f t="shared" si="176"/>
        <v>70000</v>
      </c>
      <c r="N277" s="41"/>
      <c r="O277" s="43" t="s">
        <v>8</v>
      </c>
      <c r="P277" s="20" t="s">
        <v>497</v>
      </c>
    </row>
    <row r="278" spans="1:16" ht="15" hidden="1" customHeight="1" outlineLevel="1" x14ac:dyDescent="0.25">
      <c r="A278" s="38"/>
      <c r="B278" s="43" t="s">
        <v>120</v>
      </c>
      <c r="C278" s="1"/>
      <c r="D278" s="41"/>
      <c r="E278" s="57">
        <f>E279*E282/E283</f>
        <v>0.4207589285714286</v>
      </c>
      <c r="F278" s="57">
        <f t="shared" ref="F278:M278" si="177">F279*F282/F283</f>
        <v>0.4207589285714286</v>
      </c>
      <c r="G278" s="57">
        <f t="shared" si="177"/>
        <v>0.4207589285714286</v>
      </c>
      <c r="H278" s="57">
        <f t="shared" si="177"/>
        <v>0.4207589285714286</v>
      </c>
      <c r="I278" s="57">
        <f t="shared" si="177"/>
        <v>0.4207589285714286</v>
      </c>
      <c r="J278" s="57">
        <f t="shared" si="177"/>
        <v>0.4207589285714286</v>
      </c>
      <c r="K278" s="57">
        <f t="shared" si="177"/>
        <v>0.4207589285714286</v>
      </c>
      <c r="L278" s="57">
        <f t="shared" si="177"/>
        <v>0.4207589285714286</v>
      </c>
      <c r="M278" s="57">
        <f t="shared" si="177"/>
        <v>0.4207589285714286</v>
      </c>
      <c r="N278" s="41"/>
      <c r="O278" s="43"/>
      <c r="P278" s="20" t="s">
        <v>509</v>
      </c>
    </row>
    <row r="279" spans="1:16" ht="15" hidden="1" customHeight="1" outlineLevel="1" x14ac:dyDescent="0.25">
      <c r="A279" s="38"/>
      <c r="B279" s="43" t="s">
        <v>127</v>
      </c>
      <c r="C279" s="21"/>
      <c r="D279" s="41"/>
      <c r="E279" s="8">
        <f>IF(E284&lt;=1,IF(E284&gt;-1,E280,E281))</f>
        <v>1.1607142857142858E-2</v>
      </c>
      <c r="F279" s="8">
        <f t="shared" ref="F279:M279" si="178">IF(F284&lt;=1,IF(F284&gt;-1,F280,F281))</f>
        <v>1.1607142857142858E-2</v>
      </c>
      <c r="G279" s="8">
        <f t="shared" si="178"/>
        <v>1.1607142857142858E-2</v>
      </c>
      <c r="H279" s="8">
        <f t="shared" si="178"/>
        <v>1.1607142857142858E-2</v>
      </c>
      <c r="I279" s="8">
        <f t="shared" si="178"/>
        <v>1.1607142857142858E-2</v>
      </c>
      <c r="J279" s="8">
        <f t="shared" si="178"/>
        <v>1.1607142857142858E-2</v>
      </c>
      <c r="K279" s="8">
        <f t="shared" si="178"/>
        <v>1.1607142857142858E-2</v>
      </c>
      <c r="L279" s="8">
        <f t="shared" si="178"/>
        <v>1.1607142857142858E-2</v>
      </c>
      <c r="M279" s="8">
        <f t="shared" si="178"/>
        <v>1.1607142857142858E-2</v>
      </c>
      <c r="N279" s="41"/>
      <c r="O279" s="43"/>
      <c r="P279" s="20" t="s">
        <v>510</v>
      </c>
    </row>
    <row r="280" spans="1:16" ht="15" hidden="1" customHeight="1" outlineLevel="1" x14ac:dyDescent="0.25">
      <c r="A280" s="38"/>
      <c r="B280" s="43" t="s">
        <v>129</v>
      </c>
      <c r="C280" s="21"/>
      <c r="D280" s="41"/>
      <c r="E280" s="8">
        <f>1.15+E284/2</f>
        <v>-54.35</v>
      </c>
      <c r="F280" s="8">
        <f t="shared" ref="F280:M280" si="179">1.15+F284/2</f>
        <v>-54.35</v>
      </c>
      <c r="G280" s="8">
        <f t="shared" si="179"/>
        <v>-54.35</v>
      </c>
      <c r="H280" s="8">
        <f t="shared" si="179"/>
        <v>-54.35</v>
      </c>
      <c r="I280" s="8">
        <f t="shared" si="179"/>
        <v>-54.35</v>
      </c>
      <c r="J280" s="8">
        <f t="shared" si="179"/>
        <v>-54.35</v>
      </c>
      <c r="K280" s="8">
        <f t="shared" si="179"/>
        <v>-54.35</v>
      </c>
      <c r="L280" s="8">
        <f t="shared" si="179"/>
        <v>-54.35</v>
      </c>
      <c r="M280" s="8">
        <f t="shared" si="179"/>
        <v>-54.35</v>
      </c>
      <c r="N280" s="41"/>
      <c r="O280" s="43"/>
      <c r="P280" s="20" t="s">
        <v>510</v>
      </c>
    </row>
    <row r="281" spans="1:16" ht="15" hidden="1" customHeight="1" outlineLevel="1" x14ac:dyDescent="0.25">
      <c r="A281" s="38"/>
      <c r="B281" s="43" t="s">
        <v>128</v>
      </c>
      <c r="C281" s="21"/>
      <c r="D281" s="41"/>
      <c r="E281" s="8">
        <f>1.3/(1-E284)</f>
        <v>1.1607142857142858E-2</v>
      </c>
      <c r="F281" s="8">
        <f t="shared" ref="F281:M281" si="180">1.3/(1-F284)</f>
        <v>1.1607142857142858E-2</v>
      </c>
      <c r="G281" s="8">
        <f t="shared" si="180"/>
        <v>1.1607142857142858E-2</v>
      </c>
      <c r="H281" s="8">
        <f t="shared" si="180"/>
        <v>1.1607142857142858E-2</v>
      </c>
      <c r="I281" s="8">
        <f t="shared" si="180"/>
        <v>1.1607142857142858E-2</v>
      </c>
      <c r="J281" s="8">
        <f t="shared" si="180"/>
        <v>1.1607142857142858E-2</v>
      </c>
      <c r="K281" s="8">
        <f t="shared" si="180"/>
        <v>1.1607142857142858E-2</v>
      </c>
      <c r="L281" s="8">
        <f t="shared" si="180"/>
        <v>1.1607142857142858E-2</v>
      </c>
      <c r="M281" s="8">
        <f t="shared" si="180"/>
        <v>1.1607142857142858E-2</v>
      </c>
      <c r="N281" s="41"/>
      <c r="O281" s="43"/>
      <c r="P281" s="20" t="s">
        <v>510</v>
      </c>
    </row>
    <row r="282" spans="1:16" ht="15" hidden="1" customHeight="1" outlineLevel="1" x14ac:dyDescent="0.25">
      <c r="A282" s="38"/>
      <c r="C282" s="1" t="s">
        <v>125</v>
      </c>
      <c r="D282" s="41"/>
      <c r="E282" s="61">
        <f t="shared" ref="E282:M282" si="181">E29-E30/2-E32/2</f>
        <v>580</v>
      </c>
      <c r="F282" s="61">
        <f t="shared" si="181"/>
        <v>580</v>
      </c>
      <c r="G282" s="61">
        <f t="shared" si="181"/>
        <v>580</v>
      </c>
      <c r="H282" s="61">
        <f t="shared" si="181"/>
        <v>580</v>
      </c>
      <c r="I282" s="61">
        <f t="shared" si="181"/>
        <v>580</v>
      </c>
      <c r="J282" s="61">
        <f t="shared" si="181"/>
        <v>580</v>
      </c>
      <c r="K282" s="61">
        <f t="shared" si="181"/>
        <v>580</v>
      </c>
      <c r="L282" s="61">
        <f t="shared" si="181"/>
        <v>580</v>
      </c>
      <c r="M282" s="61">
        <f t="shared" si="181"/>
        <v>580</v>
      </c>
      <c r="N282" s="41"/>
      <c r="O282" s="43" t="s">
        <v>0</v>
      </c>
      <c r="P282" s="20" t="s">
        <v>509</v>
      </c>
    </row>
    <row r="283" spans="1:16" ht="15" hidden="1" customHeight="1" outlineLevel="1" x14ac:dyDescent="0.25">
      <c r="A283" s="38"/>
      <c r="C283" s="1" t="s">
        <v>123</v>
      </c>
      <c r="D283" s="41"/>
      <c r="E283" s="11">
        <f t="shared" ref="E283:M283" si="182">E34</f>
        <v>16</v>
      </c>
      <c r="F283" s="11">
        <f t="shared" si="182"/>
        <v>16</v>
      </c>
      <c r="G283" s="11">
        <f t="shared" si="182"/>
        <v>16</v>
      </c>
      <c r="H283" s="11">
        <f t="shared" si="182"/>
        <v>16</v>
      </c>
      <c r="I283" s="11">
        <f t="shared" si="182"/>
        <v>16</v>
      </c>
      <c r="J283" s="11">
        <f t="shared" si="182"/>
        <v>16</v>
      </c>
      <c r="K283" s="11">
        <f t="shared" si="182"/>
        <v>16</v>
      </c>
      <c r="L283" s="11">
        <f t="shared" si="182"/>
        <v>16</v>
      </c>
      <c r="M283" s="11">
        <f t="shared" si="182"/>
        <v>16</v>
      </c>
      <c r="N283" s="41"/>
      <c r="O283" s="43" t="s">
        <v>0</v>
      </c>
      <c r="P283" s="20" t="s">
        <v>509</v>
      </c>
    </row>
    <row r="284" spans="1:16" ht="15" hidden="1" customHeight="1" outlineLevel="1" x14ac:dyDescent="0.25">
      <c r="A284" s="38"/>
      <c r="C284" s="1" t="s">
        <v>441</v>
      </c>
      <c r="D284" s="41"/>
      <c r="E284" s="66">
        <f t="shared" ref="E284:M284" si="183">-(E35-E53)/(E53)</f>
        <v>-111</v>
      </c>
      <c r="F284" s="66">
        <f t="shared" si="183"/>
        <v>-111</v>
      </c>
      <c r="G284" s="66">
        <f t="shared" si="183"/>
        <v>-111</v>
      </c>
      <c r="H284" s="66">
        <f t="shared" si="183"/>
        <v>-111</v>
      </c>
      <c r="I284" s="66">
        <f t="shared" si="183"/>
        <v>-111</v>
      </c>
      <c r="J284" s="66">
        <f t="shared" si="183"/>
        <v>-111</v>
      </c>
      <c r="K284" s="66">
        <f t="shared" si="183"/>
        <v>-111</v>
      </c>
      <c r="L284" s="66">
        <f t="shared" si="183"/>
        <v>-111</v>
      </c>
      <c r="M284" s="66">
        <f t="shared" si="183"/>
        <v>-111</v>
      </c>
      <c r="N284" s="41"/>
      <c r="O284" s="43"/>
      <c r="P284" s="20" t="s">
        <v>511</v>
      </c>
    </row>
    <row r="285" spans="1:16" ht="15" hidden="1" customHeight="1" outlineLevel="1" x14ac:dyDescent="0.3">
      <c r="A285" s="37"/>
      <c r="C285" s="21"/>
    </row>
    <row r="286" spans="1:16" ht="15" hidden="1" customHeight="1" outlineLevel="1" x14ac:dyDescent="0.25">
      <c r="A286" s="39" t="s">
        <v>430</v>
      </c>
      <c r="C286" s="21"/>
      <c r="P286" s="20" t="s">
        <v>505</v>
      </c>
    </row>
    <row r="287" spans="1:16" ht="15" hidden="1" customHeight="1" outlineLevel="1" x14ac:dyDescent="0.25">
      <c r="B287" s="20" t="s">
        <v>290</v>
      </c>
      <c r="C287" s="21" t="s">
        <v>431</v>
      </c>
      <c r="E287" s="10">
        <f>MIN(E177,E268)</f>
        <v>1</v>
      </c>
      <c r="F287" s="10" t="s">
        <v>1</v>
      </c>
      <c r="G287" s="10" t="s">
        <v>1</v>
      </c>
      <c r="H287" s="10" t="s">
        <v>1</v>
      </c>
      <c r="I287" s="10" t="s">
        <v>1</v>
      </c>
      <c r="J287" s="10" t="s">
        <v>1</v>
      </c>
      <c r="K287" s="10" t="s">
        <v>1</v>
      </c>
      <c r="L287" s="10" t="s">
        <v>1</v>
      </c>
      <c r="M287" s="10" t="s">
        <v>1</v>
      </c>
    </row>
    <row r="288" spans="1:16" ht="15" hidden="1" customHeight="1" outlineLevel="1" x14ac:dyDescent="0.25">
      <c r="B288" s="20" t="s">
        <v>291</v>
      </c>
      <c r="C288" s="21" t="s">
        <v>431</v>
      </c>
      <c r="E288" s="77">
        <f>E177</f>
        <v>1</v>
      </c>
      <c r="F288" s="77" t="s">
        <v>1</v>
      </c>
      <c r="G288" s="77" t="s">
        <v>1</v>
      </c>
      <c r="H288" s="77" t="s">
        <v>1</v>
      </c>
      <c r="I288" s="77" t="s">
        <v>1</v>
      </c>
      <c r="J288" s="77" t="s">
        <v>1</v>
      </c>
      <c r="K288" s="77" t="s">
        <v>1</v>
      </c>
      <c r="L288" s="77" t="s">
        <v>1</v>
      </c>
      <c r="M288" s="77" t="s">
        <v>1</v>
      </c>
    </row>
    <row r="289" spans="1:16" ht="15" hidden="1" customHeight="1" outlineLevel="1" x14ac:dyDescent="0.25">
      <c r="B289" s="20" t="s">
        <v>292</v>
      </c>
      <c r="C289" s="21" t="s">
        <v>431</v>
      </c>
      <c r="E289" s="77">
        <v>0</v>
      </c>
      <c r="F289" s="77" t="s">
        <v>1</v>
      </c>
      <c r="G289" s="77" t="s">
        <v>1</v>
      </c>
      <c r="H289" s="77" t="s">
        <v>1</v>
      </c>
      <c r="I289" s="77" t="s">
        <v>1</v>
      </c>
      <c r="J289" s="77" t="s">
        <v>1</v>
      </c>
      <c r="K289" s="77" t="s">
        <v>1</v>
      </c>
      <c r="L289" s="77" t="s">
        <v>1</v>
      </c>
      <c r="M289" s="77" t="s">
        <v>1</v>
      </c>
    </row>
    <row r="290" spans="1:16" ht="15" hidden="1" customHeight="1" outlineLevel="1" x14ac:dyDescent="0.25">
      <c r="B290" s="20" t="s">
        <v>293</v>
      </c>
      <c r="C290" s="21" t="s">
        <v>431</v>
      </c>
      <c r="E290" s="77">
        <v>0</v>
      </c>
      <c r="F290" s="77" t="s">
        <v>1</v>
      </c>
      <c r="G290" s="77" t="s">
        <v>1</v>
      </c>
      <c r="H290" s="77" t="s">
        <v>1</v>
      </c>
      <c r="I290" s="77" t="s">
        <v>1</v>
      </c>
      <c r="J290" s="77" t="s">
        <v>1</v>
      </c>
      <c r="K290" s="77" t="s">
        <v>1</v>
      </c>
      <c r="L290" s="77" t="s">
        <v>1</v>
      </c>
      <c r="M290" s="77" t="s">
        <v>1</v>
      </c>
    </row>
    <row r="291" spans="1:16" ht="15" hidden="1" customHeight="1" outlineLevel="1" x14ac:dyDescent="0.25">
      <c r="B291" s="20" t="s">
        <v>294</v>
      </c>
      <c r="C291" s="21" t="s">
        <v>431</v>
      </c>
      <c r="E291" s="77">
        <v>0</v>
      </c>
      <c r="F291" s="77" t="s">
        <v>1</v>
      </c>
      <c r="G291" s="77" t="s">
        <v>1</v>
      </c>
      <c r="H291" s="77" t="s">
        <v>1</v>
      </c>
      <c r="I291" s="77" t="s">
        <v>1</v>
      </c>
      <c r="J291" s="77" t="s">
        <v>1</v>
      </c>
      <c r="K291" s="77" t="s">
        <v>1</v>
      </c>
      <c r="L291" s="77" t="s">
        <v>1</v>
      </c>
      <c r="M291" s="77" t="s">
        <v>1</v>
      </c>
    </row>
    <row r="292" spans="1:16" ht="15" hidden="1" customHeight="1" outlineLevel="1" x14ac:dyDescent="0.25">
      <c r="B292" s="20" t="s">
        <v>418</v>
      </c>
      <c r="C292" s="21" t="s">
        <v>431</v>
      </c>
      <c r="E292" s="77">
        <v>0</v>
      </c>
      <c r="F292" s="77" t="s">
        <v>1</v>
      </c>
      <c r="G292" s="77" t="s">
        <v>1</v>
      </c>
      <c r="H292" s="77" t="s">
        <v>1</v>
      </c>
      <c r="I292" s="77" t="s">
        <v>1</v>
      </c>
      <c r="J292" s="77" t="s">
        <v>1</v>
      </c>
      <c r="K292" s="77" t="s">
        <v>1</v>
      </c>
      <c r="L292" s="77" t="s">
        <v>1</v>
      </c>
      <c r="M292" s="77" t="s">
        <v>1</v>
      </c>
    </row>
    <row r="293" spans="1:16" ht="15" hidden="1" customHeight="1" outlineLevel="1" x14ac:dyDescent="0.25">
      <c r="B293" s="20" t="s">
        <v>282</v>
      </c>
      <c r="C293" s="21" t="s">
        <v>306</v>
      </c>
      <c r="E293" s="45">
        <f>E53</f>
        <v>5</v>
      </c>
      <c r="F293" s="45" t="s">
        <v>1</v>
      </c>
      <c r="G293" s="45" t="s">
        <v>1</v>
      </c>
      <c r="H293" s="45" t="s">
        <v>1</v>
      </c>
      <c r="I293" s="45" t="s">
        <v>1</v>
      </c>
      <c r="J293" s="45" t="s">
        <v>1</v>
      </c>
      <c r="K293" s="45" t="s">
        <v>1</v>
      </c>
      <c r="L293" s="45" t="s">
        <v>1</v>
      </c>
      <c r="M293" s="45" t="s">
        <v>1</v>
      </c>
      <c r="O293" s="20" t="s">
        <v>0</v>
      </c>
    </row>
    <row r="294" spans="1:16" ht="15" hidden="1" customHeight="1" outlineLevel="1" x14ac:dyDescent="0.25">
      <c r="B294" s="20" t="s">
        <v>283</v>
      </c>
      <c r="C294" s="21" t="s">
        <v>306</v>
      </c>
      <c r="E294" s="45">
        <f>E35-E293</f>
        <v>555</v>
      </c>
      <c r="F294" s="45" t="s">
        <v>1</v>
      </c>
      <c r="G294" s="45" t="s">
        <v>1</v>
      </c>
      <c r="H294" s="45" t="s">
        <v>1</v>
      </c>
      <c r="I294" s="45" t="s">
        <v>1</v>
      </c>
      <c r="J294" s="45" t="s">
        <v>1</v>
      </c>
      <c r="K294" s="45" t="s">
        <v>1</v>
      </c>
      <c r="L294" s="45" t="s">
        <v>1</v>
      </c>
      <c r="M294" s="45" t="s">
        <v>1</v>
      </c>
      <c r="O294" s="20" t="s">
        <v>0</v>
      </c>
    </row>
    <row r="295" spans="1:16" ht="15" hidden="1" customHeight="1" outlineLevel="1" x14ac:dyDescent="0.25">
      <c r="B295" s="20" t="s">
        <v>284</v>
      </c>
      <c r="C295" s="21" t="s">
        <v>306</v>
      </c>
      <c r="E295" s="71">
        <v>0</v>
      </c>
      <c r="F295" s="71" t="s">
        <v>1</v>
      </c>
      <c r="G295" s="71" t="s">
        <v>1</v>
      </c>
      <c r="H295" s="71" t="s">
        <v>1</v>
      </c>
      <c r="I295" s="71" t="s">
        <v>1</v>
      </c>
      <c r="J295" s="71" t="s">
        <v>1</v>
      </c>
      <c r="K295" s="71" t="s">
        <v>1</v>
      </c>
      <c r="L295" s="71" t="s">
        <v>1</v>
      </c>
      <c r="M295" s="71" t="s">
        <v>1</v>
      </c>
      <c r="O295" s="20" t="s">
        <v>0</v>
      </c>
    </row>
    <row r="296" spans="1:16" ht="15" hidden="1" customHeight="1" outlineLevel="1" x14ac:dyDescent="0.25">
      <c r="B296" s="20" t="s">
        <v>285</v>
      </c>
      <c r="C296" s="21" t="s">
        <v>306</v>
      </c>
      <c r="E296" s="71">
        <v>0</v>
      </c>
      <c r="F296" s="71" t="s">
        <v>1</v>
      </c>
      <c r="G296" s="71" t="s">
        <v>1</v>
      </c>
      <c r="H296" s="71" t="s">
        <v>1</v>
      </c>
      <c r="I296" s="71" t="s">
        <v>1</v>
      </c>
      <c r="J296" s="71" t="s">
        <v>1</v>
      </c>
      <c r="K296" s="71" t="s">
        <v>1</v>
      </c>
      <c r="L296" s="71" t="s">
        <v>1</v>
      </c>
      <c r="M296" s="71" t="s">
        <v>1</v>
      </c>
      <c r="O296" s="20" t="s">
        <v>0</v>
      </c>
    </row>
    <row r="297" spans="1:16" ht="15" hidden="1" customHeight="1" outlineLevel="1" x14ac:dyDescent="0.25">
      <c r="B297" s="20" t="s">
        <v>286</v>
      </c>
      <c r="C297" s="21" t="s">
        <v>306</v>
      </c>
      <c r="E297" s="71">
        <v>0</v>
      </c>
      <c r="F297" s="71" t="s">
        <v>1</v>
      </c>
      <c r="G297" s="71" t="s">
        <v>1</v>
      </c>
      <c r="H297" s="71" t="s">
        <v>1</v>
      </c>
      <c r="I297" s="71" t="s">
        <v>1</v>
      </c>
      <c r="J297" s="71" t="s">
        <v>1</v>
      </c>
      <c r="K297" s="71" t="s">
        <v>1</v>
      </c>
      <c r="L297" s="71" t="s">
        <v>1</v>
      </c>
      <c r="M297" s="71" t="s">
        <v>1</v>
      </c>
      <c r="O297" s="20" t="s">
        <v>0</v>
      </c>
    </row>
    <row r="298" spans="1:16" ht="15" hidden="1" customHeight="1" outlineLevel="1" x14ac:dyDescent="0.25">
      <c r="B298" s="20" t="s">
        <v>419</v>
      </c>
      <c r="C298" s="21" t="s">
        <v>306</v>
      </c>
      <c r="E298" s="71">
        <v>0</v>
      </c>
      <c r="F298" s="71" t="s">
        <v>1</v>
      </c>
      <c r="G298" s="71" t="s">
        <v>1</v>
      </c>
      <c r="H298" s="71" t="s">
        <v>1</v>
      </c>
      <c r="I298" s="71" t="s">
        <v>1</v>
      </c>
      <c r="J298" s="71" t="s">
        <v>1</v>
      </c>
      <c r="K298" s="71" t="s">
        <v>1</v>
      </c>
      <c r="L298" s="71" t="s">
        <v>1</v>
      </c>
      <c r="M298" s="71" t="s">
        <v>1</v>
      </c>
      <c r="O298" s="20" t="s">
        <v>0</v>
      </c>
    </row>
    <row r="299" spans="1:16" ht="15" hidden="1" customHeight="1" outlineLevel="1" x14ac:dyDescent="0.3">
      <c r="A299" s="37"/>
      <c r="C299" s="21"/>
    </row>
    <row r="300" spans="1:16" ht="15" hidden="1" customHeight="1" outlineLevel="1" x14ac:dyDescent="0.25">
      <c r="A300" s="39" t="s">
        <v>445</v>
      </c>
      <c r="C300" s="21"/>
      <c r="P300" s="20" t="s">
        <v>505</v>
      </c>
    </row>
    <row r="301" spans="1:16" ht="15" hidden="1" customHeight="1" outlineLevel="1" x14ac:dyDescent="0.25">
      <c r="B301" s="20" t="s">
        <v>290</v>
      </c>
      <c r="C301" s="21" t="s">
        <v>431</v>
      </c>
      <c r="E301" s="10" t="s">
        <v>1</v>
      </c>
      <c r="F301" s="10">
        <f>IF(F53&lt;F182,MIN(F177,F268),
IF(F53&lt;F182+F183,MIN(F177,F268),
IF(F53&lt;F182+F183+F184,MIN(F177,F268))))</f>
        <v>1</v>
      </c>
      <c r="G301" s="10" t="s">
        <v>1</v>
      </c>
      <c r="H301" s="10">
        <f>IF(H53&lt;H182,MIN(H177,H268),
IF(H53&lt;H182+H183,MIN(H177,H268),
IF(H53&lt;H182+H183+H184,MIN(H177,H268))))</f>
        <v>0.46875</v>
      </c>
      <c r="I301" s="10">
        <f>IF(I53&lt;I182,MIN(I177,I268),
IF(I53&lt;I182+I183,MIN(I177,I268),
IF(I53&lt;I182+I183+I184,MIN(I177,I268))))</f>
        <v>0.46875</v>
      </c>
      <c r="J301" s="10">
        <f>IF(J53&lt;J182,MIN(J177,J268),
IF(J53&lt;J182+J183,MIN(J177,J268),
IF(J53&lt;J182+J183+J184,MIN(J177,J268))))</f>
        <v>0.46875</v>
      </c>
      <c r="K301" s="10" t="s">
        <v>1</v>
      </c>
      <c r="L301" s="10" t="s">
        <v>1</v>
      </c>
      <c r="M301" s="10" t="s">
        <v>1</v>
      </c>
    </row>
    <row r="302" spans="1:16" ht="15" hidden="1" customHeight="1" outlineLevel="1" x14ac:dyDescent="0.25">
      <c r="B302" s="20" t="s">
        <v>291</v>
      </c>
      <c r="C302" s="21" t="s">
        <v>431</v>
      </c>
      <c r="E302" s="77" t="s">
        <v>1</v>
      </c>
      <c r="F302" s="77">
        <f>IF(F53&lt;F182,F177,
IF(F53&lt;F182+F183,MIN(F178,F268),
IF(F53&lt;F182+F183+F184,MIN(F178,F268))))</f>
        <v>1</v>
      </c>
      <c r="G302" s="77" t="s">
        <v>1</v>
      </c>
      <c r="H302" s="77">
        <f>IF(H53&lt;H182,H177,
IF(H53&lt;H182+H183,MIN(H178,H268),
IF(H53&lt;H182+H183+H184,MIN(H178,H268))))</f>
        <v>0.46875</v>
      </c>
      <c r="I302" s="77">
        <f>IF(I53&lt;I182,I177,
IF(I53&lt;I182+I183,MIN(I178,I268),
IF(I53&lt;I182+I183+I184,MIN(I178,I268))))</f>
        <v>0.46875</v>
      </c>
      <c r="J302" s="77">
        <f>IF(J53&lt;J182,J177,
IF(J53&lt;J182+J183,MIN(J178,J268),
IF(J53&lt;J182+J183+J184,MIN(J178,J268))))</f>
        <v>0.46875</v>
      </c>
      <c r="K302" s="77" t="s">
        <v>1</v>
      </c>
      <c r="L302" s="77" t="s">
        <v>1</v>
      </c>
      <c r="M302" s="77" t="s">
        <v>1</v>
      </c>
    </row>
    <row r="303" spans="1:16" ht="15" hidden="1" customHeight="1" outlineLevel="1" x14ac:dyDescent="0.25">
      <c r="B303" s="20" t="s">
        <v>292</v>
      </c>
      <c r="C303" s="21" t="s">
        <v>431</v>
      </c>
      <c r="E303" s="77" t="s">
        <v>1</v>
      </c>
      <c r="F303" s="77">
        <f>IF(F53&lt;F182,F178,
IF(F53&lt;F182+F183,F178,
IF(F53&lt;F182+F183+F184,MIN(F179,F268))))</f>
        <v>1</v>
      </c>
      <c r="G303" s="77" t="s">
        <v>1</v>
      </c>
      <c r="H303" s="77">
        <f>IF(H53&lt;H182,H178,
IF(H53&lt;H182+H183,H178,
IF(H53&lt;H182+H183+H184,MIN(H179,H268))))</f>
        <v>1</v>
      </c>
      <c r="I303" s="77">
        <f>IF(I53&lt;I182,I178,
IF(I53&lt;I182+I183,I178,
IF(I53&lt;I182+I183+I184,MIN(I179,I268))))</f>
        <v>1</v>
      </c>
      <c r="J303" s="77">
        <f>IF(J53&lt;J182,J178,
IF(J53&lt;J182+J183,J178,
IF(J53&lt;J182+J183+J184,MIN(J179,J268))))</f>
        <v>1</v>
      </c>
      <c r="K303" s="77" t="s">
        <v>1</v>
      </c>
      <c r="L303" s="77" t="s">
        <v>1</v>
      </c>
      <c r="M303" s="77" t="s">
        <v>1</v>
      </c>
    </row>
    <row r="304" spans="1:16" ht="15" hidden="1" customHeight="1" outlineLevel="1" x14ac:dyDescent="0.25">
      <c r="B304" s="20" t="s">
        <v>293</v>
      </c>
      <c r="C304" s="21" t="s">
        <v>431</v>
      </c>
      <c r="E304" s="77" t="s">
        <v>1</v>
      </c>
      <c r="F304" s="77">
        <f>IF(F53&lt;F182,F179,
IF(F53&lt;F182+F183,F179,
IF(F53&lt;F182+F183+F184,F179)))</f>
        <v>1</v>
      </c>
      <c r="G304" s="77" t="s">
        <v>1</v>
      </c>
      <c r="H304" s="77">
        <f>IF(H53&lt;H182,H179,
IF(H53&lt;H182+H183,H179,
IF(H53&lt;H182+H183+H184,H179)))</f>
        <v>0.46875</v>
      </c>
      <c r="I304" s="77">
        <f>IF(I53&lt;I182,I179,
IF(I53&lt;I182+I183,I179,
IF(I53&lt;I182+I183+I184,I179)))</f>
        <v>0.46875</v>
      </c>
      <c r="J304" s="77">
        <f>IF(J53&lt;J182,J179,
IF(J53&lt;J182+J183,J179,
IF(J53&lt;J182+J183+J184,J179)))</f>
        <v>0.46875</v>
      </c>
      <c r="K304" s="77" t="s">
        <v>1</v>
      </c>
      <c r="L304" s="77" t="s">
        <v>1</v>
      </c>
      <c r="M304" s="77" t="s">
        <v>1</v>
      </c>
    </row>
    <row r="305" spans="1:16" ht="15" hidden="1" customHeight="1" outlineLevel="1" x14ac:dyDescent="0.25">
      <c r="B305" s="20" t="s">
        <v>294</v>
      </c>
      <c r="C305" s="21" t="s">
        <v>431</v>
      </c>
      <c r="E305" s="77" t="s">
        <v>1</v>
      </c>
      <c r="F305" s="77">
        <v>0</v>
      </c>
      <c r="G305" s="77" t="s">
        <v>1</v>
      </c>
      <c r="H305" s="77">
        <v>0</v>
      </c>
      <c r="I305" s="77">
        <v>0</v>
      </c>
      <c r="J305" s="77">
        <v>0</v>
      </c>
      <c r="K305" s="77" t="s">
        <v>1</v>
      </c>
      <c r="L305" s="77" t="s">
        <v>1</v>
      </c>
      <c r="M305" s="77" t="s">
        <v>1</v>
      </c>
    </row>
    <row r="306" spans="1:16" ht="15" hidden="1" customHeight="1" outlineLevel="1" x14ac:dyDescent="0.25">
      <c r="B306" s="20" t="s">
        <v>418</v>
      </c>
      <c r="C306" s="21" t="s">
        <v>431</v>
      </c>
      <c r="E306" s="77" t="s">
        <v>1</v>
      </c>
      <c r="F306" s="77">
        <v>0</v>
      </c>
      <c r="G306" s="77" t="s">
        <v>1</v>
      </c>
      <c r="H306" s="77">
        <v>0</v>
      </c>
      <c r="I306" s="77">
        <v>0</v>
      </c>
      <c r="J306" s="77">
        <v>0</v>
      </c>
      <c r="K306" s="77" t="s">
        <v>1</v>
      </c>
      <c r="L306" s="77" t="s">
        <v>1</v>
      </c>
      <c r="M306" s="77" t="s">
        <v>1</v>
      </c>
    </row>
    <row r="307" spans="1:16" ht="15" hidden="1" customHeight="1" outlineLevel="1" x14ac:dyDescent="0.25">
      <c r="B307" s="20" t="s">
        <v>282</v>
      </c>
      <c r="C307" s="21" t="s">
        <v>306</v>
      </c>
      <c r="E307" s="45" t="s">
        <v>1</v>
      </c>
      <c r="F307" s="45">
        <f>IF(F53&lt;F182,F53,
IF(F53&lt;F182+F183,F182,
IF(F53&lt;F182+F183+F184,F182)))</f>
        <v>5</v>
      </c>
      <c r="G307" s="77" t="s">
        <v>1</v>
      </c>
      <c r="H307" s="45">
        <f>IF(H53&lt;H182,H53,
IF(H53&lt;H182+H183,H182,
IF(H53&lt;H182+H183+H184,H182)))</f>
        <v>5</v>
      </c>
      <c r="I307" s="45">
        <f>IF(I53&lt;I182,I53,
IF(I53&lt;I182+I183,I182,
IF(I53&lt;I182+I183+I184,I182)))</f>
        <v>5</v>
      </c>
      <c r="J307" s="45">
        <f>IF(J53&lt;J182,J53,
IF(J53&lt;J182+J183,J182,
IF(J53&lt;J182+J183+J184,J182)))</f>
        <v>5</v>
      </c>
      <c r="K307" s="45" t="s">
        <v>1</v>
      </c>
      <c r="L307" s="45" t="s">
        <v>1</v>
      </c>
      <c r="M307" s="45" t="s">
        <v>1</v>
      </c>
      <c r="O307" s="20" t="s">
        <v>0</v>
      </c>
    </row>
    <row r="308" spans="1:16" ht="15" hidden="1" customHeight="1" outlineLevel="1" x14ac:dyDescent="0.25">
      <c r="B308" s="20" t="s">
        <v>283</v>
      </c>
      <c r="C308" s="21" t="s">
        <v>306</v>
      </c>
      <c r="E308" s="45" t="s">
        <v>1</v>
      </c>
      <c r="F308" s="45">
        <f>IF(F53&lt;F182,F182-F307,
IF(F53&lt;F182+F183,F53-F182,
IF(F53&lt;F182+F183+F184,F183)))</f>
        <v>240</v>
      </c>
      <c r="G308" s="45" t="s">
        <v>1</v>
      </c>
      <c r="H308" s="45">
        <f>IF(H53&lt;H182,H182-H307,
IF(H53&lt;H182+H183,H53-H182,
IF(H53&lt;H182+H183+H184,H183)))</f>
        <v>30</v>
      </c>
      <c r="I308" s="45">
        <f>IF(I53&lt;I182,I182-I307,
IF(I53&lt;I182+I183,I53-I182,
IF(I53&lt;I182+I183+I184,I183)))</f>
        <v>30</v>
      </c>
      <c r="J308" s="45">
        <f>IF(J53&lt;J182,J182-J307,
IF(J53&lt;J182+J183,J53-J182,
IF(J53&lt;J182+J183+J184,J183)))</f>
        <v>30</v>
      </c>
      <c r="K308" s="45" t="s">
        <v>1</v>
      </c>
      <c r="L308" s="45" t="s">
        <v>1</v>
      </c>
      <c r="M308" s="45" t="s">
        <v>1</v>
      </c>
      <c r="O308" s="20" t="s">
        <v>0</v>
      </c>
    </row>
    <row r="309" spans="1:16" ht="15" hidden="1" customHeight="1" outlineLevel="1" x14ac:dyDescent="0.25">
      <c r="B309" s="20" t="s">
        <v>284</v>
      </c>
      <c r="C309" s="21" t="s">
        <v>306</v>
      </c>
      <c r="E309" s="71" t="s">
        <v>1</v>
      </c>
      <c r="F309" s="71">
        <f>IF(F53&lt;F182,F183,
IF(F53&lt;F182+F183,F183-F308,
IF(F53&lt;F182+F183+F184,F53-F182-F183)))</f>
        <v>70</v>
      </c>
      <c r="G309" s="71" t="s">
        <v>1</v>
      </c>
      <c r="H309" s="71">
        <f>IF(H53&lt;H182,H183,
IF(H53&lt;H182+H183,H183-H308,
IF(H53&lt;H182+H183+H184,H53-H182-H183)))</f>
        <v>490</v>
      </c>
      <c r="I309" s="71">
        <f>IF(I53&lt;I182,I183,
IF(I53&lt;I182+I183,I183-I308,
IF(I53&lt;I182+I183+I184,I53-I182-I183)))</f>
        <v>490</v>
      </c>
      <c r="J309" s="71">
        <f>IF(J53&lt;J182,J183,
IF(J53&lt;J182+J183,J183-J308,
IF(J53&lt;J182+J183+J184,J53-J182-J183)))</f>
        <v>490</v>
      </c>
      <c r="K309" s="71" t="s">
        <v>1</v>
      </c>
      <c r="L309" s="71" t="s">
        <v>1</v>
      </c>
      <c r="M309" s="71" t="s">
        <v>1</v>
      </c>
      <c r="O309" s="20" t="s">
        <v>0</v>
      </c>
    </row>
    <row r="310" spans="1:16" ht="15" hidden="1" customHeight="1" outlineLevel="1" x14ac:dyDescent="0.25">
      <c r="B310" s="20" t="s">
        <v>285</v>
      </c>
      <c r="C310" s="21" t="s">
        <v>306</v>
      </c>
      <c r="E310" s="71" t="s">
        <v>1</v>
      </c>
      <c r="F310" s="71">
        <f>IF(F53&lt;F182,F184,
IF(F53&lt;F182+F183,F184,
IF(F53&lt;F182+F183+F184,F184-F309)))</f>
        <v>245</v>
      </c>
      <c r="G310" s="71" t="s">
        <v>1</v>
      </c>
      <c r="H310" s="71">
        <f>IF(H53&lt;H182,H184,
IF(H53&lt;H182+H183,H184,
IF(H53&lt;H182+H183+H184,H184-H309)))</f>
        <v>35</v>
      </c>
      <c r="I310" s="71">
        <f>IF(I53&lt;I182,I184,
IF(I53&lt;I182+I183,I184,
IF(I53&lt;I182+I183+I184,I184-I309)))</f>
        <v>35</v>
      </c>
      <c r="J310" s="71">
        <f>IF(J53&lt;J182,J184,
IF(J53&lt;J182+J183,J184,
IF(J53&lt;J182+J183+J184,J184-J309)))</f>
        <v>35</v>
      </c>
      <c r="K310" s="71" t="s">
        <v>1</v>
      </c>
      <c r="L310" s="71" t="s">
        <v>1</v>
      </c>
      <c r="M310" s="71" t="s">
        <v>1</v>
      </c>
      <c r="O310" s="20" t="s">
        <v>0</v>
      </c>
    </row>
    <row r="311" spans="1:16" ht="15" hidden="1" customHeight="1" outlineLevel="1" x14ac:dyDescent="0.25">
      <c r="B311" s="20" t="s">
        <v>286</v>
      </c>
      <c r="C311" s="21" t="s">
        <v>306</v>
      </c>
      <c r="E311" s="71" t="s">
        <v>1</v>
      </c>
      <c r="F311" s="71">
        <v>0</v>
      </c>
      <c r="G311" s="71" t="s">
        <v>1</v>
      </c>
      <c r="H311" s="71">
        <v>0</v>
      </c>
      <c r="I311" s="71">
        <v>0</v>
      </c>
      <c r="J311" s="71">
        <v>0</v>
      </c>
      <c r="K311" s="71" t="s">
        <v>1</v>
      </c>
      <c r="L311" s="71" t="s">
        <v>1</v>
      </c>
      <c r="M311" s="71" t="s">
        <v>1</v>
      </c>
      <c r="O311" s="20" t="s">
        <v>0</v>
      </c>
    </row>
    <row r="312" spans="1:16" ht="15" hidden="1" customHeight="1" outlineLevel="1" x14ac:dyDescent="0.25">
      <c r="B312" s="20" t="s">
        <v>419</v>
      </c>
      <c r="C312" s="21" t="s">
        <v>306</v>
      </c>
      <c r="E312" s="71" t="s">
        <v>1</v>
      </c>
      <c r="F312" s="71">
        <v>0</v>
      </c>
      <c r="G312" s="71" t="s">
        <v>1</v>
      </c>
      <c r="H312" s="71">
        <v>0</v>
      </c>
      <c r="I312" s="71">
        <v>0</v>
      </c>
      <c r="J312" s="71">
        <v>0</v>
      </c>
      <c r="K312" s="71" t="s">
        <v>1</v>
      </c>
      <c r="L312" s="71" t="s">
        <v>1</v>
      </c>
      <c r="M312" s="71" t="s">
        <v>1</v>
      </c>
      <c r="O312" s="20" t="s">
        <v>0</v>
      </c>
    </row>
    <row r="313" spans="1:16" ht="15" hidden="1" customHeight="1" outlineLevel="1" x14ac:dyDescent="0.3">
      <c r="A313" s="37"/>
      <c r="C313" s="21"/>
    </row>
    <row r="314" spans="1:16" ht="15" hidden="1" customHeight="1" outlineLevel="1" x14ac:dyDescent="0.25">
      <c r="A314" s="39" t="s">
        <v>446</v>
      </c>
      <c r="C314" s="21"/>
      <c r="P314" s="20" t="s">
        <v>505</v>
      </c>
    </row>
    <row r="315" spans="1:16" ht="15" hidden="1" customHeight="1" outlineLevel="1" x14ac:dyDescent="0.25">
      <c r="B315" s="20" t="s">
        <v>290</v>
      </c>
      <c r="C315" s="21" t="s">
        <v>431</v>
      </c>
      <c r="E315" s="10" t="s">
        <v>1</v>
      </c>
      <c r="F315" s="10" t="s">
        <v>1</v>
      </c>
      <c r="G315" s="10">
        <f>IF(G53&lt;G182,MIN(G177,G268),
IF(G53&lt;G182+G183,MIN(G177,G268),
IF(G53&lt;G182+G183+G184,MIN(G177,G268),
IF(G53&lt;G182+G183+G184+G185,MIN(G177,G268),
IF(G53&lt;G182+G183+G184+G185+G186,MIN(G177,G268))))))</f>
        <v>1</v>
      </c>
      <c r="H315" s="10" t="s">
        <v>1</v>
      </c>
      <c r="I315" s="10" t="s">
        <v>1</v>
      </c>
      <c r="J315" s="10" t="s">
        <v>1</v>
      </c>
      <c r="K315" s="10">
        <f>IF(K53&lt;K182,MIN(K177,K268),
IF(K53&lt;K182+K183,MIN(K177,K268),
IF(K53&lt;K182+K183+K184,MIN(K177,K268),
IF(K53&lt;K182+K183+K184+K185,MIN(K177,K268),
IF(K53&lt;K182+K183+K184+K185+K186,MIN(K177,K268))))))</f>
        <v>0.5859375</v>
      </c>
      <c r="L315" s="10">
        <f>IF(L53&lt;L182,MIN(L177,L268),
IF(L53&lt;L182+L183,MIN(L177,L268),
IF(L53&lt;L182+L183+L184,MIN(L177,L268),
IF(L53&lt;L182+L183+L184+L185,MIN(L177,L268),
IF(L53&lt;L182+L183+L184+L185+L186,MIN(L177,L268))))))</f>
        <v>0.5859375</v>
      </c>
      <c r="M315" s="10">
        <f>IF(M53&lt;M182,MIN(M177,M268),
IF(M53&lt;M182+M183,MIN(M177,M268),
IF(M53&lt;M182+M183+M184,MIN(M177,M268),
IF(M53&lt;M182+M183+M184+M185,MIN(M177,M268),
IF(M53&lt;M182+M183+M184+M185+M186,MIN(M177,M268))))))</f>
        <v>0.5859375</v>
      </c>
    </row>
    <row r="316" spans="1:16" ht="15" hidden="1" customHeight="1" outlineLevel="1" x14ac:dyDescent="0.25">
      <c r="B316" s="20" t="s">
        <v>291</v>
      </c>
      <c r="C316" s="21" t="s">
        <v>431</v>
      </c>
      <c r="E316" s="10" t="s">
        <v>1</v>
      </c>
      <c r="F316" s="10" t="s">
        <v>1</v>
      </c>
      <c r="G316" s="77">
        <f>IF(G53&lt;G182,G177,
IF(G53&lt;G182+G183,MIN(G178,G268),
IF(G53&lt;G182+G183+G184,MIN(G178,G268),
IF(G53&lt;G182+G183+G184+G185,MIN(G178,G268),
IF(G53&lt;G182+G183+G184+G185+G186,MIN(G178,G268))))))</f>
        <v>1</v>
      </c>
      <c r="H316" s="10" t="s">
        <v>1</v>
      </c>
      <c r="I316" s="10" t="s">
        <v>1</v>
      </c>
      <c r="J316" s="10" t="s">
        <v>1</v>
      </c>
      <c r="K316" s="77">
        <f>IF(K53&lt;K182,K177,
IF(K53&lt;K182+K183,MIN(K178,K268),
IF(K53&lt;K182+K183+K184,MIN(K178,K268),
IF(K53&lt;K182+K183+K184+K185,MIN(K178,K268),
IF(K53&lt;K182+K183+K184+K185+K186,MIN(K178,K268))))))</f>
        <v>0.5859375</v>
      </c>
      <c r="L316" s="77">
        <f>IF(L53&lt;L182,L177,
IF(L53&lt;L182+L183,MIN(L178,L268),
IF(L53&lt;L182+L183+L184,MIN(L178,L268),
IF(L53&lt;L182+L183+L184+L185,MIN(L178,L268),
IF(L53&lt;L182+L183+L184+L185+L186,MIN(L178,L268))))))</f>
        <v>0.5859375</v>
      </c>
      <c r="M316" s="77">
        <f>IF(M53&lt;M182,M177,
IF(M53&lt;M182+M183,MIN(M178,M268),
IF(M53&lt;M182+M183+M184,MIN(M178,M268),
IF(M53&lt;M182+M183+M184+M185,MIN(M178,M268),
IF(M53&lt;M182+M183+M184+M185+M186,MIN(M178,M268))))))</f>
        <v>0.5859375</v>
      </c>
    </row>
    <row r="317" spans="1:16" ht="15" hidden="1" customHeight="1" outlineLevel="1" x14ac:dyDescent="0.25">
      <c r="B317" s="20" t="s">
        <v>292</v>
      </c>
      <c r="C317" s="21" t="s">
        <v>431</v>
      </c>
      <c r="E317" s="10" t="s">
        <v>1</v>
      </c>
      <c r="F317" s="10" t="s">
        <v>1</v>
      </c>
      <c r="G317" s="77">
        <f>IF(G53&lt;G182,G178,
IF(G53&lt;G182+G183,G178,
IF(G53&lt;G182+G183+G184,MIN(G179,G268),
IF(G53&lt;G182+G183+G184+G185,MIN(G179,G268),
IF(G53&lt;G182+G183+G184+G185+G186,MIN(G179,G268))))))</f>
        <v>0.72916666666666663</v>
      </c>
      <c r="H317" s="10" t="s">
        <v>1</v>
      </c>
      <c r="I317" s="10" t="s">
        <v>1</v>
      </c>
      <c r="J317" s="10" t="s">
        <v>1</v>
      </c>
      <c r="K317" s="77">
        <f>IF(K53&lt;K182,K178,
IF(K53&lt;K182+K183,K178,
IF(K53&lt;K182+K183+K184,MIN(K179,K268),
IF(K53&lt;K182+K183+K184+K185,MIN(K179,K268),
IF(K53&lt;K182+K183+K184+K185+K186,MIN(K179,K268))))))</f>
        <v>1</v>
      </c>
      <c r="L317" s="77">
        <f>IF(L53&lt;L182,L178,
IF(L53&lt;L182+L183,L178,
IF(L53&lt;L182+L183+L184,MIN(L179,L268),
IF(L53&lt;L182+L183+L184+L185,MIN(L179,L268),
IF(L53&lt;L182+L183+L184+L185+L186,MIN(L179,L268))))))</f>
        <v>1</v>
      </c>
      <c r="M317" s="77">
        <f>IF(M53&lt;M182,M178,
IF(M53&lt;M182+M183,M178,
IF(M53&lt;M182+M183+M184,MIN(M179,M268),
IF(M53&lt;M182+M183+M184+M185,MIN(M179,M268),
IF(M53&lt;M182+M183+M184+M185+M186,MIN(M179,M268))))))</f>
        <v>1</v>
      </c>
    </row>
    <row r="318" spans="1:16" ht="15" hidden="1" customHeight="1" outlineLevel="1" x14ac:dyDescent="0.25">
      <c r="B318" s="20" t="s">
        <v>293</v>
      </c>
      <c r="C318" s="21" t="s">
        <v>431</v>
      </c>
      <c r="E318" s="10" t="s">
        <v>1</v>
      </c>
      <c r="F318" s="10" t="s">
        <v>1</v>
      </c>
      <c r="G318" s="77">
        <f>IF(G53&lt;G182,G179,
IF(G53&lt;G182+G183,G179,
IF(G53&lt;G182+G183+G184,G179,
IF(G53&lt;G182+G183+G184+G185,MIN(G180,G268),
IF(G53&lt;G182+G183+G184+G185+G186,MIN(G180,G268))))))</f>
        <v>1</v>
      </c>
      <c r="H318" s="10" t="s">
        <v>1</v>
      </c>
      <c r="I318" s="10" t="s">
        <v>1</v>
      </c>
      <c r="J318" s="10" t="s">
        <v>1</v>
      </c>
      <c r="K318" s="77">
        <f>IF(K53&lt;K182,K179,
IF(K53&lt;K182+K183,K179,
IF(K53&lt;K182+K183+K184,K179,
IF(K53&lt;K182+K183+K184+K185,MIN(K180,K268),
IF(K53&lt;K182+K183+K184+K185+K186,MIN(K180,K268))))))</f>
        <v>1</v>
      </c>
      <c r="L318" s="77">
        <f>IF(L53&lt;L182,L179,
IF(L53&lt;L182+L183,L179,
IF(L53&lt;L182+L183+L184,L179,
IF(L53&lt;L182+L183+L184+L185,MIN(L180,L268),
IF(L53&lt;L182+L183+L184+L185+L186,MIN(L180,L268))))))</f>
        <v>1</v>
      </c>
      <c r="M318" s="77">
        <f>IF(M53&lt;M182,M179,
IF(M53&lt;M182+M183,M179,
IF(M53&lt;M182+M183+M184,M179,
IF(M53&lt;M182+M183+M184+M185,MIN(M180,M268),
IF(M53&lt;M182+M183+M184+M185+M186,MIN(M180,M268))))))</f>
        <v>1</v>
      </c>
    </row>
    <row r="319" spans="1:16" ht="15" hidden="1" customHeight="1" outlineLevel="1" x14ac:dyDescent="0.25">
      <c r="B319" s="20" t="s">
        <v>294</v>
      </c>
      <c r="C319" s="21" t="s">
        <v>431</v>
      </c>
      <c r="E319" s="10" t="s">
        <v>1</v>
      </c>
      <c r="F319" s="10" t="s">
        <v>1</v>
      </c>
      <c r="G319" s="77">
        <f>IF(G53&lt;G182,G180,
IF(G53&lt;G182+G183,G180,
IF(G53&lt;G182+G183+G184,G180,
IF(G53&lt;G182+G183+G184+G185,G180,
IF(G53&lt;G182+G183+G184+G185+G186,MIN(G181,G268))))))</f>
        <v>0.72916666666666663</v>
      </c>
      <c r="H319" s="10" t="s">
        <v>1</v>
      </c>
      <c r="I319" s="10" t="s">
        <v>1</v>
      </c>
      <c r="J319" s="10" t="s">
        <v>1</v>
      </c>
      <c r="K319" s="77">
        <f>IF(K53&lt;K182,K180,
IF(K53&lt;K182+K183,K180,
IF(K53&lt;K182+K183+K184,K180,
IF(K53&lt;K182+K183+K184+K185,K180,
IF(K53&lt;K182+K183+K184+K185+K186,MIN(K181,K268))))))</f>
        <v>1</v>
      </c>
      <c r="L319" s="77">
        <f>IF(L53&lt;L182,L180,
IF(L53&lt;L182+L183,L180,
IF(L53&lt;L182+L183+L184,L180,
IF(L53&lt;L182+L183+L184+L185,L180,
IF(L53&lt;L182+L183+L184+L185+L186,MIN(L181,L268))))))</f>
        <v>1</v>
      </c>
      <c r="M319" s="77">
        <f>IF(M53&lt;M182,M180,
IF(M53&lt;M182+M183,M180,
IF(M53&lt;M182+M183+M184,M180,
IF(M53&lt;M182+M183+M184+M185,M180,
IF(M53&lt;M182+M183+M184+M185+M186,MIN(M181,M268))))))</f>
        <v>1</v>
      </c>
    </row>
    <row r="320" spans="1:16" ht="15" hidden="1" customHeight="1" outlineLevel="1" x14ac:dyDescent="0.25">
      <c r="B320" s="20" t="s">
        <v>418</v>
      </c>
      <c r="C320" s="21" t="s">
        <v>431</v>
      </c>
      <c r="E320" s="10" t="s">
        <v>1</v>
      </c>
      <c r="F320" s="10" t="s">
        <v>1</v>
      </c>
      <c r="G320" s="77">
        <f>IF(G53&lt;G182,G181,
IF(G53&lt;G182+G183,G181,
IF(G53&lt;G182+G183+G184,G181,
IF(G53&lt;G182+G183+G184+G185,G181,
IF(G53&lt;G182+G183+G184+G185+G186,G181)))))</f>
        <v>1</v>
      </c>
      <c r="H320" s="10" t="s">
        <v>1</v>
      </c>
      <c r="I320" s="10" t="s">
        <v>1</v>
      </c>
      <c r="J320" s="10" t="s">
        <v>1</v>
      </c>
      <c r="K320" s="77">
        <f>IF(K53&lt;K182,K181,
IF(K53&lt;K182+K183,K181,
IF(K53&lt;K182+K183+K184,K181,
IF(K53&lt;K182+K183+K184+K185,K181,
IF(K53&lt;K182+K183+K184+K185+K186,K181)))))</f>
        <v>0.5859375</v>
      </c>
      <c r="L320" s="77">
        <f>IF(L53&lt;L182,L181,
IF(L53&lt;L182+L183,L181,
IF(L53&lt;L182+L183+L184,L181,
IF(L53&lt;L182+L183+L184+L185,L181,
IF(L53&lt;L182+L183+L184+L185+L186,L181)))))</f>
        <v>0.5859375</v>
      </c>
      <c r="M320" s="77">
        <f>IF(M53&lt;M182,M181,
IF(M53&lt;M182+M183,M181,
IF(M53&lt;M182+M183+M184,M181,
IF(M53&lt;M182+M183+M184+M185,M181,
IF(M53&lt;M182+M183+M184+M185+M186,M181)))))</f>
        <v>0.5859375</v>
      </c>
    </row>
    <row r="321" spans="1:16" ht="15" hidden="1" customHeight="1" outlineLevel="1" x14ac:dyDescent="0.25">
      <c r="B321" s="20" t="s">
        <v>282</v>
      </c>
      <c r="C321" s="21" t="s">
        <v>306</v>
      </c>
      <c r="E321" s="10" t="s">
        <v>1</v>
      </c>
      <c r="F321" s="10" t="s">
        <v>1</v>
      </c>
      <c r="G321" s="45">
        <f>IF(G53&lt;G182,G53,
IF(G53&lt;G182+G183,G182,
IF(G53&lt;G182+G183+G184,G182,
IF(G53&lt;G182+G183+G184+G185,G182,
IF(G53&lt;G182+G183+G184+G185+G186,G182)))))</f>
        <v>5</v>
      </c>
      <c r="H321" s="10" t="s">
        <v>1</v>
      </c>
      <c r="I321" s="10" t="s">
        <v>1</v>
      </c>
      <c r="J321" s="10" t="s">
        <v>1</v>
      </c>
      <c r="K321" s="45">
        <f>IF(K53&lt;K182,K53,
IF(K53&lt;K182+K183,K182,
IF(K53&lt;K182+K183+K184,K182,
IF(K53&lt;K182+K183+K184+K185,K182,
IF(K53&lt;K182+K183+K184+K185+K186,K182)))))</f>
        <v>5</v>
      </c>
      <c r="L321" s="45">
        <f>IF(L53&lt;L182,L53,
IF(L53&lt;L182+L183,L182,
IF(L53&lt;L182+L183+L184,L182,
IF(L53&lt;L182+L183+L184+L185,L182,
IF(L53&lt;L182+L183+L184+L185+L186,L182)))))</f>
        <v>5</v>
      </c>
      <c r="M321" s="45">
        <f>IF(M53&lt;M182,M53,
IF(M53&lt;M182+M183,M182,
IF(M53&lt;M182+M183+M184,M182,
IF(M53&lt;M182+M183+M184+M185,M182,
IF(M53&lt;M182+M183+M184+M185+M186,M182)))))</f>
        <v>5</v>
      </c>
      <c r="O321" s="20" t="s">
        <v>0</v>
      </c>
    </row>
    <row r="322" spans="1:16" ht="15" hidden="1" customHeight="1" outlineLevel="1" x14ac:dyDescent="0.25">
      <c r="B322" s="20" t="s">
        <v>283</v>
      </c>
      <c r="C322" s="21" t="s">
        <v>306</v>
      </c>
      <c r="E322" s="10" t="s">
        <v>1</v>
      </c>
      <c r="F322" s="10" t="s">
        <v>1</v>
      </c>
      <c r="G322" s="45">
        <f>IF(G53&lt;G182,G182-G321,
IF(G53&lt;G182+G183,G53-G182,
IF(G53&lt;G182+G183+G184,G183,
IF(G53&lt;G182+G183+G184+G185,G183,
IF(G53&lt;G182+G183+G184+G185+G186,G183)))))</f>
        <v>60</v>
      </c>
      <c r="H322" s="10" t="s">
        <v>1</v>
      </c>
      <c r="I322" s="10" t="s">
        <v>1</v>
      </c>
      <c r="J322" s="10" t="s">
        <v>1</v>
      </c>
      <c r="K322" s="45">
        <f>IF(K53&lt;K182,K182-K321,
IF(K53&lt;K182+K183,K53-K182,
IF(K53&lt;K182+K183+K184,K183,
IF(K53&lt;K182+K183+K184+K185,K183,
IF(K53&lt;K182+K183+K184+K185+K186,K183)))))</f>
        <v>107</v>
      </c>
      <c r="L322" s="45">
        <f>IF(L53&lt;L182,L182-L321,
IF(L53&lt;L182+L183,L53-L182,
IF(L53&lt;L182+L183+L184,L183,
IF(L53&lt;L182+L183+L184+L185,L183,
IF(L53&lt;L182+L183+L184+L185+L186,L183)))))</f>
        <v>107</v>
      </c>
      <c r="M322" s="45">
        <f>IF(M53&lt;M182,M182-M321,
IF(M53&lt;M182+M183,M53-M182,
IF(M53&lt;M182+M183+M184,M183,
IF(M53&lt;M182+M183+M184+M185,M183,
IF(M53&lt;M182+M183+M184+M185+M186,M183)))))</f>
        <v>107</v>
      </c>
      <c r="O322" s="20" t="s">
        <v>0</v>
      </c>
    </row>
    <row r="323" spans="1:16" ht="15" hidden="1" customHeight="1" outlineLevel="1" x14ac:dyDescent="0.25">
      <c r="B323" s="20" t="s">
        <v>284</v>
      </c>
      <c r="C323" s="21" t="s">
        <v>306</v>
      </c>
      <c r="E323" s="10" t="s">
        <v>1</v>
      </c>
      <c r="F323" s="10" t="s">
        <v>1</v>
      </c>
      <c r="G323" s="71">
        <f>IF(G53&lt;G182,G183,
IF(G53&lt;G182+G183,G183-G322,
IF(G53&lt;G182+G183+G184,G53-G182-G183,
IF(G53&lt;G182+G183+G184+G185,G184,
IF(G53&lt;G182+G183+G184+G185+G186,G184)))))</f>
        <v>70</v>
      </c>
      <c r="H323" s="10" t="s">
        <v>1</v>
      </c>
      <c r="I323" s="10" t="s">
        <v>1</v>
      </c>
      <c r="J323" s="10" t="s">
        <v>1</v>
      </c>
      <c r="K323" s="71">
        <f>IF(K53&lt;K182,K183,
IF(K53&lt;K182+K183,K183-K322,
IF(K53&lt;K182+K183+K184,K53-K182-K183,
IF(K53&lt;K182+K183+K184+K185,K184,
IF(K53&lt;K182+K183+K184+K185+K186,K184)))))</f>
        <v>112</v>
      </c>
      <c r="L323" s="71">
        <f>IF(L53&lt;L182,L183,
IF(L53&lt;L182+L183,L183-L322,
IF(L53&lt;L182+L183+L184,L53-L182-L183,
IF(L53&lt;L182+L183+L184+L185,L184,
IF(L53&lt;L182+L183+L184+L185+L186,L184)))))</f>
        <v>112</v>
      </c>
      <c r="M323" s="71">
        <f>IF(M53&lt;M182,M183,
IF(M53&lt;M182+M183,M183-M322,
IF(M53&lt;M182+M183+M184,M53-M182-M183,
IF(M53&lt;M182+M183+M184+M185,M184,
IF(M53&lt;M182+M183+M184+M185+M186,M184)))))</f>
        <v>112</v>
      </c>
      <c r="O323" s="20" t="s">
        <v>0</v>
      </c>
    </row>
    <row r="324" spans="1:16" ht="15" hidden="1" customHeight="1" outlineLevel="1" x14ac:dyDescent="0.25">
      <c r="B324" s="20" t="s">
        <v>285</v>
      </c>
      <c r="C324" s="21" t="s">
        <v>306</v>
      </c>
      <c r="E324" s="10" t="s">
        <v>1</v>
      </c>
      <c r="F324" s="10" t="s">
        <v>1</v>
      </c>
      <c r="G324" s="71">
        <f>IF(G53&lt;G182,G184,
IF(G53&lt;G182+G183,G184,
IF(G53&lt;G182+G183+G184,G184-G323,
IF(G53&lt;G182+G183+G184+G185,G53-G182-G183-G184,
IF(G53&lt;G182+G183+G184+G185+G186,G185)))))</f>
        <v>290</v>
      </c>
      <c r="H324" s="10" t="s">
        <v>1</v>
      </c>
      <c r="I324" s="10" t="s">
        <v>1</v>
      </c>
      <c r="J324" s="10" t="s">
        <v>1</v>
      </c>
      <c r="K324" s="71">
        <f>IF(K53&lt;K182,K184,
IF(K53&lt;K182+K183,K184,
IF(K53&lt;K182+K183+K184,K184-K323,
IF(K53&lt;K182+K183+K184+K185,K53-K182-K183-K184,
IF(K53&lt;K182+K183+K184+K185+K186,K185)))))</f>
        <v>112</v>
      </c>
      <c r="L324" s="71">
        <f>IF(L53&lt;L182,L184,
IF(L53&lt;L182+L183,L184,
IF(L53&lt;L182+L183+L184,L184-L323,
IF(L53&lt;L182+L183+L184+L185,L53-L182-L183-L184,
IF(L53&lt;L182+L183+L184+L185+L186,L185)))))</f>
        <v>112</v>
      </c>
      <c r="M324" s="71">
        <f>IF(M53&lt;M182,M184,
IF(M53&lt;M182+M183,M184,
IF(M53&lt;M182+M183+M184,M184-M323,
IF(M53&lt;M182+M183+M184+M185,M53-M182-M183-M184,
IF(M53&lt;M182+M183+M184+M185+M186,M185)))))</f>
        <v>112</v>
      </c>
      <c r="O324" s="20" t="s">
        <v>0</v>
      </c>
    </row>
    <row r="325" spans="1:16" ht="15" hidden="1" customHeight="1" outlineLevel="1" x14ac:dyDescent="0.25">
      <c r="B325" s="20" t="s">
        <v>286</v>
      </c>
      <c r="C325" s="21" t="s">
        <v>306</v>
      </c>
      <c r="E325" s="10" t="s">
        <v>1</v>
      </c>
      <c r="F325" s="10" t="s">
        <v>1</v>
      </c>
      <c r="G325" s="71">
        <f>IF(G53&lt;G182,G185,
IF(G53&lt;G182+G183,G185,
IF(G53&lt;G182+G183+G184,G185,
IF(G53&lt;G182+G183+G184+G185,G185-G324,
IF(G53&lt;G182+G183+G184+G185+G186,G53-G182-G183-G184-G185)))))</f>
        <v>70</v>
      </c>
      <c r="H325" s="10" t="s">
        <v>1</v>
      </c>
      <c r="I325" s="10" t="s">
        <v>1</v>
      </c>
      <c r="J325" s="10" t="s">
        <v>1</v>
      </c>
      <c r="K325" s="71">
        <f>IF(K53&lt;K182,K185,
IF(K53&lt;K182+K183,K185,
IF(K53&lt;K182+K183+K184,K185,
IF(K53&lt;K182+K183+K184+K185,K185-K324,
IF(K53&lt;K182+K183+K184+K185+K186,K53-K182-K183-K184-K185)))))</f>
        <v>112</v>
      </c>
      <c r="L325" s="71">
        <f>IF(L53&lt;L182,L185,
IF(L53&lt;L182+L183,L185,
IF(L53&lt;L182+L183+L184,L185,
IF(L53&lt;L182+L183+L184+L185,L185-L324,
IF(L53&lt;L182+L183+L184+L185+L186,L53-L182-L183-L184-L185)))))</f>
        <v>112</v>
      </c>
      <c r="M325" s="71">
        <f>IF(M53&lt;M182,M185,
IF(M53&lt;M182+M183,M185,
IF(M53&lt;M182+M183+M184,M185,
IF(M53&lt;M182+M183+M184+M185,M185-M324,
IF(M53&lt;M182+M183+M184+M185+M186,M53-M182-M183-M184-M185)))))</f>
        <v>112</v>
      </c>
      <c r="O325" s="20" t="s">
        <v>0</v>
      </c>
    </row>
    <row r="326" spans="1:16" ht="15" hidden="1" customHeight="1" outlineLevel="1" x14ac:dyDescent="0.25">
      <c r="B326" s="20" t="s">
        <v>419</v>
      </c>
      <c r="C326" s="21" t="s">
        <v>306</v>
      </c>
      <c r="E326" s="10" t="s">
        <v>1</v>
      </c>
      <c r="F326" s="10" t="s">
        <v>1</v>
      </c>
      <c r="G326" s="71">
        <f>IF(G53&lt;G182,G186,
IF(G53&lt;G182+G183,G186,
IF(G53&lt;G182+G183+G184,G186,
IF(G53&lt;G182+G183+G184+G185,G186,
IF(G53&lt;G182+G183+G184+G185+G186,G186-G325)))))</f>
        <v>65</v>
      </c>
      <c r="H326" s="10" t="s">
        <v>1</v>
      </c>
      <c r="I326" s="10" t="s">
        <v>1</v>
      </c>
      <c r="J326" s="10" t="s">
        <v>1</v>
      </c>
      <c r="K326" s="71">
        <f>IF(K53&lt;K182,K186,
IF(K53&lt;K182+K183,K186,
IF(K53&lt;K182+K183+K184,K186,
IF(K53&lt;K182+K183+K184+K185,K186,
IF(K53&lt;K182+K183+K184+K185+K186,K186-K325)))))</f>
        <v>112</v>
      </c>
      <c r="L326" s="71">
        <f>IF(L53&lt;L182,L186,
IF(L53&lt;L182+L183,L186,
IF(L53&lt;L182+L183+L184,L186,
IF(L53&lt;L182+L183+L184+L185,L186,
IF(L53&lt;L182+L183+L184+L185+L186,L186-L325)))))</f>
        <v>112</v>
      </c>
      <c r="M326" s="71">
        <f>IF(M53&lt;M182,M186,
IF(M53&lt;M182+M183,M186,
IF(M53&lt;M182+M183+M184,M186,
IF(M53&lt;M182+M183+M184+M185,M186,
IF(M53&lt;M182+M183+M184+M185+M186,M186-M325)))))</f>
        <v>112</v>
      </c>
      <c r="O326" s="20" t="s">
        <v>0</v>
      </c>
    </row>
    <row r="327" spans="1:16" ht="15" customHeight="1" collapsed="1" x14ac:dyDescent="0.3">
      <c r="A327" s="37"/>
      <c r="C327" s="21"/>
    </row>
    <row r="328" spans="1:16" ht="15" customHeight="1" x14ac:dyDescent="0.25">
      <c r="C328" s="21"/>
      <c r="G328" s="7"/>
    </row>
    <row r="329" spans="1:16" ht="15" customHeight="1" x14ac:dyDescent="0.3">
      <c r="A329" s="37" t="s">
        <v>462</v>
      </c>
      <c r="P329" s="20" t="s">
        <v>512</v>
      </c>
    </row>
    <row r="330" spans="1:16" ht="15" hidden="1" customHeight="1" outlineLevel="1" x14ac:dyDescent="0.25"/>
    <row r="331" spans="1:16" ht="15" hidden="1" customHeight="1" outlineLevel="1" x14ac:dyDescent="0.25">
      <c r="A331" s="39" t="s">
        <v>61</v>
      </c>
      <c r="C331" s="40"/>
      <c r="P331" s="20" t="s">
        <v>492</v>
      </c>
    </row>
    <row r="332" spans="1:16" ht="15" hidden="1" customHeight="1" outlineLevel="1" x14ac:dyDescent="0.25">
      <c r="A332" s="38"/>
      <c r="B332" s="1" t="s">
        <v>133</v>
      </c>
      <c r="C332" s="1"/>
      <c r="D332" s="41"/>
      <c r="E332" s="4"/>
      <c r="F332" s="4"/>
      <c r="G332" s="4"/>
      <c r="H332" s="4"/>
      <c r="I332" s="4"/>
      <c r="J332" s="4"/>
      <c r="K332" s="4"/>
      <c r="L332" s="4"/>
      <c r="M332" s="4"/>
      <c r="N332" s="41"/>
      <c r="O332" s="1"/>
      <c r="P332" s="21"/>
    </row>
    <row r="333" spans="1:16" ht="15" hidden="1" customHeight="1" outlineLevel="1" x14ac:dyDescent="0.25">
      <c r="A333" s="38"/>
      <c r="C333" s="1" t="s">
        <v>3</v>
      </c>
      <c r="D333" s="41"/>
      <c r="E333" s="4">
        <f t="shared" ref="E333:J333" si="184">MAX(E335,E338)</f>
        <v>3</v>
      </c>
      <c r="F333" s="4">
        <f t="shared" si="184"/>
        <v>3</v>
      </c>
      <c r="G333" s="4">
        <f t="shared" si="184"/>
        <v>3</v>
      </c>
      <c r="H333" s="4">
        <f t="shared" si="184"/>
        <v>3</v>
      </c>
      <c r="I333" s="4">
        <f t="shared" si="184"/>
        <v>3</v>
      </c>
      <c r="J333" s="4">
        <f t="shared" si="184"/>
        <v>3</v>
      </c>
      <c r="K333" s="4">
        <f>MAX(K335,K338)</f>
        <v>3</v>
      </c>
      <c r="L333" s="4">
        <f>MAX(L335,L338)</f>
        <v>3</v>
      </c>
      <c r="M333" s="4">
        <f>MAX(M335,M338)</f>
        <v>3</v>
      </c>
      <c r="N333" s="41"/>
      <c r="O333" s="1"/>
      <c r="P333" s="21" t="s">
        <v>492</v>
      </c>
    </row>
    <row r="334" spans="1:16" ht="15" hidden="1" customHeight="1" outlineLevel="1" x14ac:dyDescent="0.25">
      <c r="A334" s="38"/>
      <c r="B334" s="1" t="s">
        <v>130</v>
      </c>
      <c r="C334" s="1"/>
      <c r="D334" s="41"/>
      <c r="E334" s="4"/>
      <c r="F334" s="4"/>
      <c r="G334" s="4"/>
      <c r="H334" s="4"/>
      <c r="I334" s="4"/>
      <c r="J334" s="4"/>
      <c r="K334" s="4"/>
      <c r="L334" s="4"/>
      <c r="M334" s="4"/>
      <c r="N334" s="41"/>
      <c r="O334" s="1"/>
      <c r="P334" s="21"/>
    </row>
    <row r="335" spans="1:16" ht="15" hidden="1" customHeight="1" outlineLevel="1" x14ac:dyDescent="0.25">
      <c r="A335" s="38"/>
      <c r="C335" s="1" t="s">
        <v>3</v>
      </c>
      <c r="D335" s="41"/>
      <c r="E335" s="4">
        <f t="shared" ref="E335:M335" si="185">IF(E336&gt;=0.5,3,IF(E336&gt;=0.3,2,1))</f>
        <v>3</v>
      </c>
      <c r="F335" s="4">
        <f t="shared" si="185"/>
        <v>3</v>
      </c>
      <c r="G335" s="4">
        <f t="shared" si="185"/>
        <v>3</v>
      </c>
      <c r="H335" s="4">
        <f t="shared" si="185"/>
        <v>3</v>
      </c>
      <c r="I335" s="4">
        <f t="shared" si="185"/>
        <v>3</v>
      </c>
      <c r="J335" s="4">
        <f t="shared" si="185"/>
        <v>3</v>
      </c>
      <c r="K335" s="4">
        <f t="shared" si="185"/>
        <v>3</v>
      </c>
      <c r="L335" s="4">
        <f t="shared" si="185"/>
        <v>3</v>
      </c>
      <c r="M335" s="4">
        <f t="shared" si="185"/>
        <v>3</v>
      </c>
      <c r="N335" s="41"/>
      <c r="O335" s="1"/>
      <c r="P335" s="21" t="s">
        <v>492</v>
      </c>
    </row>
    <row r="336" spans="1:16" ht="15" hidden="1" customHeight="1" outlineLevel="1" x14ac:dyDescent="0.25">
      <c r="A336" s="38"/>
      <c r="C336" s="1" t="s">
        <v>131</v>
      </c>
      <c r="D336" s="41"/>
      <c r="E336" s="51">
        <f t="shared" ref="E336:J336" si="186">E454</f>
        <v>0.5824474521506261</v>
      </c>
      <c r="F336" s="51">
        <f t="shared" si="186"/>
        <v>0.5824474521506261</v>
      </c>
      <c r="G336" s="51">
        <f t="shared" si="186"/>
        <v>0.5824474521506261</v>
      </c>
      <c r="H336" s="51">
        <f t="shared" si="186"/>
        <v>0.5824474521506261</v>
      </c>
      <c r="I336" s="51">
        <f t="shared" si="186"/>
        <v>0.5824474521506261</v>
      </c>
      <c r="J336" s="51">
        <f t="shared" si="186"/>
        <v>0.5824474521506261</v>
      </c>
      <c r="K336" s="51">
        <f>K454</f>
        <v>0.5824474521506261</v>
      </c>
      <c r="L336" s="51">
        <f>L454</f>
        <v>0.5824474521506261</v>
      </c>
      <c r="M336" s="51">
        <f>M454</f>
        <v>0.5824474521506261</v>
      </c>
      <c r="N336" s="41"/>
      <c r="O336" s="43"/>
      <c r="P336" s="20" t="s">
        <v>493</v>
      </c>
    </row>
    <row r="337" spans="1:16" ht="15" hidden="1" customHeight="1" outlineLevel="1" x14ac:dyDescent="0.25">
      <c r="A337" s="38"/>
      <c r="B337" s="1" t="s">
        <v>132</v>
      </c>
      <c r="C337" s="1"/>
      <c r="D337" s="41"/>
      <c r="E337" s="4"/>
      <c r="F337" s="4"/>
      <c r="G337" s="4"/>
      <c r="H337" s="4"/>
      <c r="I337" s="4"/>
      <c r="J337" s="4"/>
      <c r="K337" s="4"/>
      <c r="L337" s="4"/>
      <c r="M337" s="4"/>
      <c r="N337" s="41"/>
      <c r="O337" s="1"/>
      <c r="P337" s="21"/>
    </row>
    <row r="338" spans="1:16" ht="15" hidden="1" customHeight="1" outlineLevel="1" x14ac:dyDescent="0.25">
      <c r="A338" s="38"/>
      <c r="C338" s="1" t="s">
        <v>3</v>
      </c>
      <c r="D338" s="41"/>
      <c r="E338" s="4">
        <f t="shared" ref="E338:M338" si="187">IF(E339&gt;=0.5,3,IF(E339&gt;=0.3,2,1))</f>
        <v>2</v>
      </c>
      <c r="F338" s="4">
        <f t="shared" si="187"/>
        <v>2</v>
      </c>
      <c r="G338" s="4">
        <f t="shared" si="187"/>
        <v>2</v>
      </c>
      <c r="H338" s="4">
        <f t="shared" si="187"/>
        <v>2</v>
      </c>
      <c r="I338" s="4">
        <f t="shared" si="187"/>
        <v>2</v>
      </c>
      <c r="J338" s="4">
        <f t="shared" si="187"/>
        <v>2</v>
      </c>
      <c r="K338" s="4">
        <f t="shared" si="187"/>
        <v>2</v>
      </c>
      <c r="L338" s="4">
        <f t="shared" si="187"/>
        <v>2</v>
      </c>
      <c r="M338" s="4">
        <f t="shared" si="187"/>
        <v>2</v>
      </c>
      <c r="N338" s="41"/>
      <c r="O338" s="1"/>
      <c r="P338" s="21" t="s">
        <v>492</v>
      </c>
    </row>
    <row r="339" spans="1:16" ht="15" hidden="1" customHeight="1" outlineLevel="1" x14ac:dyDescent="0.25">
      <c r="A339" s="38"/>
      <c r="C339" s="1" t="s">
        <v>131</v>
      </c>
      <c r="D339" s="41"/>
      <c r="E339" s="51">
        <f t="shared" ref="E339:J339" si="188">E471</f>
        <v>0.43916537892157215</v>
      </c>
      <c r="F339" s="51">
        <f t="shared" si="188"/>
        <v>0.43916537892157215</v>
      </c>
      <c r="G339" s="51">
        <f t="shared" si="188"/>
        <v>0.43916537892157215</v>
      </c>
      <c r="H339" s="51">
        <f t="shared" si="188"/>
        <v>0.43916537892157215</v>
      </c>
      <c r="I339" s="51">
        <f t="shared" si="188"/>
        <v>0.43916537892157215</v>
      </c>
      <c r="J339" s="51">
        <f t="shared" si="188"/>
        <v>0.43916537892157215</v>
      </c>
      <c r="K339" s="51">
        <f>K471</f>
        <v>0.43916537892157215</v>
      </c>
      <c r="L339" s="51">
        <f>L471</f>
        <v>0.43916537892157215</v>
      </c>
      <c r="M339" s="51">
        <f>M471</f>
        <v>0.43916537892157215</v>
      </c>
      <c r="N339" s="41"/>
      <c r="O339" s="43"/>
      <c r="P339" s="20" t="s">
        <v>493</v>
      </c>
    </row>
    <row r="340" spans="1:16" ht="15" hidden="1" customHeight="1" outlineLevel="1" x14ac:dyDescent="0.25">
      <c r="C340" s="21"/>
    </row>
    <row r="341" spans="1:16" ht="15" hidden="1" customHeight="1" outlineLevel="1" x14ac:dyDescent="0.25">
      <c r="A341" s="39" t="s">
        <v>145</v>
      </c>
      <c r="C341" s="40"/>
      <c r="P341" s="20" t="s">
        <v>513</v>
      </c>
    </row>
    <row r="342" spans="1:16" ht="15" hidden="1" customHeight="1" outlineLevel="1" x14ac:dyDescent="0.25">
      <c r="A342" s="38"/>
      <c r="B342" s="20" t="s">
        <v>143</v>
      </c>
      <c r="C342" s="21"/>
      <c r="E342" s="7">
        <f t="shared" ref="E342:M342" si="189">MIN(E343,E347)</f>
        <v>810.10799999999995</v>
      </c>
      <c r="F342" s="7">
        <f t="shared" si="189"/>
        <v>807.958125</v>
      </c>
      <c r="G342" s="7">
        <f t="shared" si="189"/>
        <v>765.88199999999995</v>
      </c>
      <c r="H342" s="7">
        <f t="shared" si="189"/>
        <v>668.43562499999996</v>
      </c>
      <c r="I342" s="7">
        <f t="shared" si="189"/>
        <v>553.72923632812501</v>
      </c>
      <c r="J342" s="7">
        <f t="shared" si="189"/>
        <v>553.72923632812501</v>
      </c>
      <c r="K342" s="7">
        <f t="shared" si="189"/>
        <v>563.09175000000005</v>
      </c>
      <c r="L342" s="7">
        <f t="shared" si="189"/>
        <v>354.42225000000002</v>
      </c>
      <c r="M342" s="7">
        <f t="shared" si="189"/>
        <v>354.42225000000002</v>
      </c>
      <c r="O342" s="20" t="s">
        <v>6</v>
      </c>
      <c r="P342" s="20" t="s">
        <v>513</v>
      </c>
    </row>
    <row r="343" spans="1:16" ht="15" hidden="1" customHeight="1" outlineLevel="1" x14ac:dyDescent="0.25">
      <c r="A343" s="38"/>
      <c r="B343" s="20" t="s">
        <v>134</v>
      </c>
      <c r="C343" s="21"/>
      <c r="E343" s="7">
        <f t="shared" ref="E343:M343" si="190">E344*E345*E346/10^6</f>
        <v>897.35040000000004</v>
      </c>
      <c r="F343" s="7">
        <f t="shared" si="190"/>
        <v>894.96900000000005</v>
      </c>
      <c r="G343" s="7">
        <f t="shared" si="190"/>
        <v>848.36159999999995</v>
      </c>
      <c r="H343" s="7">
        <f t="shared" si="190"/>
        <v>740.42100000000005</v>
      </c>
      <c r="I343" s="7">
        <f t="shared" si="190"/>
        <v>613.36161562500001</v>
      </c>
      <c r="J343" s="7">
        <f t="shared" si="190"/>
        <v>613.36161562500001</v>
      </c>
      <c r="K343" s="7">
        <f t="shared" si="190"/>
        <v>623.73239999999998</v>
      </c>
      <c r="L343" s="7">
        <f t="shared" si="190"/>
        <v>392.5908</v>
      </c>
      <c r="M343" s="7">
        <f t="shared" si="190"/>
        <v>392.5908</v>
      </c>
      <c r="O343" s="20" t="s">
        <v>6</v>
      </c>
      <c r="P343" s="20" t="s">
        <v>514</v>
      </c>
    </row>
    <row r="344" spans="1:16" ht="15" hidden="1" customHeight="1" outlineLevel="1" x14ac:dyDescent="0.25">
      <c r="A344" s="38"/>
      <c r="C344" s="21" t="s">
        <v>38</v>
      </c>
      <c r="E344" s="8">
        <v>0.9</v>
      </c>
      <c r="F344" s="8">
        <v>0.9</v>
      </c>
      <c r="G344" s="8">
        <v>0.9</v>
      </c>
      <c r="H344" s="8">
        <v>0.9</v>
      </c>
      <c r="I344" s="8">
        <v>0.9</v>
      </c>
      <c r="J344" s="8">
        <v>0.9</v>
      </c>
      <c r="K344" s="8">
        <v>0.9</v>
      </c>
      <c r="L344" s="8">
        <v>0.9</v>
      </c>
      <c r="M344" s="8">
        <v>0.9</v>
      </c>
      <c r="P344" s="20" t="s">
        <v>515</v>
      </c>
    </row>
    <row r="345" spans="1:16" ht="15" hidden="1" customHeight="1" outlineLevel="1" x14ac:dyDescent="0.25">
      <c r="A345" s="38"/>
      <c r="C345" s="21" t="s">
        <v>54</v>
      </c>
      <c r="D345" s="19"/>
      <c r="E345" s="52">
        <f t="shared" ref="E345:M345" si="191">E169</f>
        <v>4154400</v>
      </c>
      <c r="F345" s="52">
        <f t="shared" si="191"/>
        <v>4143375</v>
      </c>
      <c r="G345" s="52">
        <f t="shared" si="191"/>
        <v>3927600</v>
      </c>
      <c r="H345" s="52">
        <f t="shared" si="191"/>
        <v>3427875</v>
      </c>
      <c r="I345" s="52">
        <f t="shared" si="191"/>
        <v>2839637.109375</v>
      </c>
      <c r="J345" s="52">
        <f t="shared" si="191"/>
        <v>2839637.109375</v>
      </c>
      <c r="K345" s="52">
        <f t="shared" si="191"/>
        <v>2887650</v>
      </c>
      <c r="L345" s="52">
        <f t="shared" si="191"/>
        <v>1817550</v>
      </c>
      <c r="M345" s="52">
        <f t="shared" si="191"/>
        <v>1817550</v>
      </c>
      <c r="N345" s="19"/>
      <c r="O345" s="20" t="s">
        <v>234</v>
      </c>
    </row>
    <row r="346" spans="1:16" ht="15" hidden="1" customHeight="1" outlineLevel="1" x14ac:dyDescent="0.25">
      <c r="A346" s="38"/>
      <c r="C346" s="21" t="s">
        <v>36</v>
      </c>
      <c r="E346" s="7">
        <f t="shared" ref="E346:M346" si="192">E22</f>
        <v>240</v>
      </c>
      <c r="F346" s="7">
        <f t="shared" si="192"/>
        <v>240</v>
      </c>
      <c r="G346" s="7">
        <f t="shared" si="192"/>
        <v>240</v>
      </c>
      <c r="H346" s="7">
        <f t="shared" si="192"/>
        <v>240</v>
      </c>
      <c r="I346" s="7">
        <f t="shared" si="192"/>
        <v>240</v>
      </c>
      <c r="J346" s="7">
        <f t="shared" si="192"/>
        <v>240</v>
      </c>
      <c r="K346" s="7">
        <f t="shared" si="192"/>
        <v>240</v>
      </c>
      <c r="L346" s="7">
        <f t="shared" si="192"/>
        <v>240</v>
      </c>
      <c r="M346" s="7">
        <f t="shared" si="192"/>
        <v>240</v>
      </c>
      <c r="O346" s="20" t="s">
        <v>8</v>
      </c>
      <c r="P346" s="20" t="s">
        <v>496</v>
      </c>
    </row>
    <row r="347" spans="1:16" ht="15" hidden="1" customHeight="1" outlineLevel="1" x14ac:dyDescent="0.25">
      <c r="A347" s="38"/>
      <c r="B347" s="20" t="s">
        <v>135</v>
      </c>
      <c r="C347" s="21"/>
      <c r="E347" s="7">
        <f t="shared" ref="E347:M347" si="193">E348*E349*E350/10^6</f>
        <v>810.10799999999995</v>
      </c>
      <c r="F347" s="7">
        <f t="shared" si="193"/>
        <v>807.958125</v>
      </c>
      <c r="G347" s="7">
        <f t="shared" si="193"/>
        <v>765.88199999999995</v>
      </c>
      <c r="H347" s="7">
        <f t="shared" si="193"/>
        <v>668.43562499999996</v>
      </c>
      <c r="I347" s="7">
        <f t="shared" si="193"/>
        <v>553.72923632812501</v>
      </c>
      <c r="J347" s="7">
        <f t="shared" si="193"/>
        <v>553.72923632812501</v>
      </c>
      <c r="K347" s="7">
        <f t="shared" si="193"/>
        <v>563.09175000000005</v>
      </c>
      <c r="L347" s="7">
        <f t="shared" si="193"/>
        <v>354.42225000000002</v>
      </c>
      <c r="M347" s="7">
        <f t="shared" si="193"/>
        <v>354.42225000000002</v>
      </c>
      <c r="O347" s="20" t="s">
        <v>6</v>
      </c>
      <c r="P347" s="20" t="s">
        <v>516</v>
      </c>
    </row>
    <row r="348" spans="1:16" ht="15" hidden="1" customHeight="1" outlineLevel="1" x14ac:dyDescent="0.25">
      <c r="A348" s="38"/>
      <c r="C348" s="21" t="s">
        <v>138</v>
      </c>
      <c r="E348" s="8">
        <v>0.75</v>
      </c>
      <c r="F348" s="8">
        <v>0.75</v>
      </c>
      <c r="G348" s="8">
        <v>0.75</v>
      </c>
      <c r="H348" s="8">
        <v>0.75</v>
      </c>
      <c r="I348" s="8">
        <v>0.75</v>
      </c>
      <c r="J348" s="8">
        <v>0.75</v>
      </c>
      <c r="K348" s="8">
        <v>0.75</v>
      </c>
      <c r="L348" s="8">
        <v>0.75</v>
      </c>
      <c r="M348" s="8">
        <v>0.75</v>
      </c>
      <c r="P348" s="20" t="s">
        <v>517</v>
      </c>
    </row>
    <row r="349" spans="1:16" ht="15" hidden="1" customHeight="1" outlineLevel="1" x14ac:dyDescent="0.25">
      <c r="A349" s="38"/>
      <c r="C349" s="21" t="s">
        <v>136</v>
      </c>
      <c r="D349" s="19"/>
      <c r="E349" s="52">
        <f t="shared" ref="E349:M349" si="194">E169</f>
        <v>4154400</v>
      </c>
      <c r="F349" s="52">
        <f t="shared" si="194"/>
        <v>4143375</v>
      </c>
      <c r="G349" s="52">
        <f t="shared" si="194"/>
        <v>3927600</v>
      </c>
      <c r="H349" s="52">
        <f t="shared" si="194"/>
        <v>3427875</v>
      </c>
      <c r="I349" s="52">
        <f t="shared" si="194"/>
        <v>2839637.109375</v>
      </c>
      <c r="J349" s="52">
        <f t="shared" si="194"/>
        <v>2839637.109375</v>
      </c>
      <c r="K349" s="52">
        <f t="shared" si="194"/>
        <v>2887650</v>
      </c>
      <c r="L349" s="52">
        <f t="shared" si="194"/>
        <v>1817550</v>
      </c>
      <c r="M349" s="52">
        <f t="shared" si="194"/>
        <v>1817550</v>
      </c>
      <c r="N349" s="19"/>
      <c r="O349" s="20" t="s">
        <v>234</v>
      </c>
    </row>
    <row r="350" spans="1:16" ht="15" hidden="1" customHeight="1" outlineLevel="1" x14ac:dyDescent="0.25">
      <c r="A350" s="38"/>
      <c r="C350" s="21" t="s">
        <v>137</v>
      </c>
      <c r="E350" s="7">
        <f t="shared" ref="E350:M350" si="195">E23</f>
        <v>260</v>
      </c>
      <c r="F350" s="7">
        <f t="shared" si="195"/>
        <v>260</v>
      </c>
      <c r="G350" s="7">
        <f t="shared" si="195"/>
        <v>260</v>
      </c>
      <c r="H350" s="7">
        <f t="shared" si="195"/>
        <v>260</v>
      </c>
      <c r="I350" s="7">
        <f t="shared" si="195"/>
        <v>260</v>
      </c>
      <c r="J350" s="7">
        <f t="shared" si="195"/>
        <v>260</v>
      </c>
      <c r="K350" s="7">
        <f t="shared" si="195"/>
        <v>260</v>
      </c>
      <c r="L350" s="7">
        <f t="shared" si="195"/>
        <v>260</v>
      </c>
      <c r="M350" s="7">
        <f t="shared" si="195"/>
        <v>260</v>
      </c>
      <c r="O350" s="20" t="s">
        <v>8</v>
      </c>
      <c r="P350" s="20" t="s">
        <v>496</v>
      </c>
    </row>
    <row r="351" spans="1:16" ht="15" hidden="1" customHeight="1" outlineLevel="1" x14ac:dyDescent="0.25">
      <c r="C351" s="21"/>
    </row>
    <row r="352" spans="1:16" ht="15" hidden="1" customHeight="1" outlineLevel="1" x14ac:dyDescent="0.25">
      <c r="A352" s="39" t="s">
        <v>146</v>
      </c>
      <c r="C352" s="40"/>
      <c r="P352" s="20" t="s">
        <v>518</v>
      </c>
    </row>
    <row r="353" spans="1:16" ht="15" hidden="1" customHeight="1" outlineLevel="1" x14ac:dyDescent="0.25">
      <c r="A353" s="38"/>
      <c r="B353" s="20" t="s">
        <v>144</v>
      </c>
      <c r="C353" s="21"/>
      <c r="E353" s="7">
        <f t="shared" ref="E353:M353" si="196">MIN(E354,E358)</f>
        <v>699.06719999999996</v>
      </c>
      <c r="F353" s="7">
        <f t="shared" si="196"/>
        <v>699.06719999999996</v>
      </c>
      <c r="G353" s="7">
        <f t="shared" si="196"/>
        <v>686.12978055555561</v>
      </c>
      <c r="H353" s="7">
        <f t="shared" si="196"/>
        <v>572.41108294677736</v>
      </c>
      <c r="I353" s="7">
        <f t="shared" si="196"/>
        <v>455.35240506922855</v>
      </c>
      <c r="J353" s="7">
        <f t="shared" si="196"/>
        <v>411.08203235416465</v>
      </c>
      <c r="K353" s="7">
        <f t="shared" si="196"/>
        <v>549.69195773011063</v>
      </c>
      <c r="L353" s="7">
        <f t="shared" si="196"/>
        <v>350.2187713196069</v>
      </c>
      <c r="M353" s="7">
        <f t="shared" si="196"/>
        <v>350.2187713196069</v>
      </c>
      <c r="O353" s="20" t="s">
        <v>6</v>
      </c>
      <c r="P353" s="20" t="s">
        <v>518</v>
      </c>
    </row>
    <row r="354" spans="1:16" ht="15" hidden="1" customHeight="1" outlineLevel="1" x14ac:dyDescent="0.25">
      <c r="A354" s="38"/>
      <c r="B354" s="20" t="s">
        <v>140</v>
      </c>
      <c r="C354" s="21"/>
      <c r="E354" s="7">
        <f t="shared" ref="E354:M354" si="197">E355*E356*E357/10^6</f>
        <v>774.35136</v>
      </c>
      <c r="F354" s="7">
        <f t="shared" si="197"/>
        <v>774.35136</v>
      </c>
      <c r="G354" s="7">
        <f t="shared" si="197"/>
        <v>760.02067999999997</v>
      </c>
      <c r="H354" s="7">
        <f t="shared" si="197"/>
        <v>634.05535341796872</v>
      </c>
      <c r="I354" s="7">
        <f t="shared" si="197"/>
        <v>455.35240506922855</v>
      </c>
      <c r="J354" s="7">
        <f t="shared" si="197"/>
        <v>579.28692241623583</v>
      </c>
      <c r="K354" s="7">
        <f t="shared" si="197"/>
        <v>608.88955317796876</v>
      </c>
      <c r="L354" s="7">
        <f t="shared" si="197"/>
        <v>387.93463900017997</v>
      </c>
      <c r="M354" s="7">
        <f t="shared" si="197"/>
        <v>387.93463900017997</v>
      </c>
      <c r="O354" s="20" t="s">
        <v>6</v>
      </c>
      <c r="P354" s="20" t="s">
        <v>519</v>
      </c>
    </row>
    <row r="355" spans="1:16" ht="15" hidden="1" customHeight="1" outlineLevel="1" x14ac:dyDescent="0.25">
      <c r="A355" s="38"/>
      <c r="C355" s="21" t="s">
        <v>38</v>
      </c>
      <c r="E355" s="8">
        <v>0.9</v>
      </c>
      <c r="F355" s="8">
        <v>0.9</v>
      </c>
      <c r="G355" s="8">
        <v>0.9</v>
      </c>
      <c r="H355" s="8">
        <v>0.9</v>
      </c>
      <c r="I355" s="8">
        <v>0.9</v>
      </c>
      <c r="J355" s="8">
        <v>0.9</v>
      </c>
      <c r="K355" s="8">
        <v>0.9</v>
      </c>
      <c r="L355" s="8">
        <v>0.9</v>
      </c>
      <c r="M355" s="8">
        <v>0.9</v>
      </c>
      <c r="P355" s="20" t="s">
        <v>515</v>
      </c>
    </row>
    <row r="356" spans="1:16" ht="15" hidden="1" customHeight="1" outlineLevel="1" x14ac:dyDescent="0.25">
      <c r="A356" s="38"/>
      <c r="C356" s="21" t="s">
        <v>78</v>
      </c>
      <c r="D356" s="19"/>
      <c r="E356" s="52">
        <f t="shared" ref="E356:J356" si="198">E259</f>
        <v>3584960</v>
      </c>
      <c r="F356" s="52">
        <f t="shared" si="198"/>
        <v>3584960</v>
      </c>
      <c r="G356" s="52">
        <f t="shared" si="198"/>
        <v>3518614.2592592593</v>
      </c>
      <c r="H356" s="52">
        <f t="shared" si="198"/>
        <v>2935441.4510091147</v>
      </c>
      <c r="I356" s="52">
        <f t="shared" si="198"/>
        <v>2108112.9864316136</v>
      </c>
      <c r="J356" s="52">
        <f t="shared" si="198"/>
        <v>2681883.9000751656</v>
      </c>
      <c r="K356" s="52">
        <f>K259</f>
        <v>2818933.1165646701</v>
      </c>
      <c r="L356" s="52">
        <f>L259</f>
        <v>1795993.6990749072</v>
      </c>
      <c r="M356" s="52">
        <f>M259</f>
        <v>1795993.6990749072</v>
      </c>
      <c r="N356" s="19"/>
      <c r="O356" s="20" t="s">
        <v>234</v>
      </c>
    </row>
    <row r="357" spans="1:16" ht="15" hidden="1" customHeight="1" outlineLevel="1" x14ac:dyDescent="0.25">
      <c r="A357" s="38"/>
      <c r="C357" s="21" t="s">
        <v>36</v>
      </c>
      <c r="E357" s="7">
        <f t="shared" ref="E357:M357" si="199">E22</f>
        <v>240</v>
      </c>
      <c r="F357" s="7">
        <f t="shared" si="199"/>
        <v>240</v>
      </c>
      <c r="G357" s="7">
        <f t="shared" si="199"/>
        <v>240</v>
      </c>
      <c r="H357" s="7">
        <f t="shared" si="199"/>
        <v>240</v>
      </c>
      <c r="I357" s="7">
        <f t="shared" si="199"/>
        <v>240</v>
      </c>
      <c r="J357" s="7">
        <f t="shared" si="199"/>
        <v>240</v>
      </c>
      <c r="K357" s="7">
        <f t="shared" si="199"/>
        <v>240</v>
      </c>
      <c r="L357" s="7">
        <f t="shared" si="199"/>
        <v>240</v>
      </c>
      <c r="M357" s="7">
        <f t="shared" si="199"/>
        <v>240</v>
      </c>
      <c r="O357" s="20" t="s">
        <v>8</v>
      </c>
      <c r="P357" s="20" t="s">
        <v>496</v>
      </c>
    </row>
    <row r="358" spans="1:16" ht="15" hidden="1" customHeight="1" outlineLevel="1" x14ac:dyDescent="0.25">
      <c r="A358" s="38"/>
      <c r="B358" s="20" t="s">
        <v>141</v>
      </c>
      <c r="C358" s="21"/>
      <c r="E358" s="7">
        <f t="shared" ref="E358:M358" si="200">E359*E360*E361/10^6</f>
        <v>699.06719999999996</v>
      </c>
      <c r="F358" s="7">
        <f t="shared" si="200"/>
        <v>699.06719999999996</v>
      </c>
      <c r="G358" s="7">
        <f t="shared" si="200"/>
        <v>686.12978055555561</v>
      </c>
      <c r="H358" s="7">
        <f t="shared" si="200"/>
        <v>572.41108294677736</v>
      </c>
      <c r="I358" s="7">
        <f t="shared" si="200"/>
        <v>522.96736051465746</v>
      </c>
      <c r="J358" s="7">
        <f t="shared" si="200"/>
        <v>411.08203235416465</v>
      </c>
      <c r="K358" s="7">
        <f t="shared" si="200"/>
        <v>549.69195773011063</v>
      </c>
      <c r="L358" s="7">
        <f t="shared" si="200"/>
        <v>350.2187713196069</v>
      </c>
      <c r="M358" s="7">
        <f t="shared" si="200"/>
        <v>350.2187713196069</v>
      </c>
      <c r="O358" s="20" t="s">
        <v>6</v>
      </c>
      <c r="P358" s="20" t="s">
        <v>520</v>
      </c>
    </row>
    <row r="359" spans="1:16" ht="15" hidden="1" customHeight="1" outlineLevel="1" x14ac:dyDescent="0.25">
      <c r="A359" s="38"/>
      <c r="C359" s="21" t="s">
        <v>138</v>
      </c>
      <c r="E359" s="8">
        <v>0.75</v>
      </c>
      <c r="F359" s="8">
        <v>0.75</v>
      </c>
      <c r="G359" s="8">
        <v>0.75</v>
      </c>
      <c r="H359" s="8">
        <v>0.75</v>
      </c>
      <c r="I359" s="8">
        <v>0.75</v>
      </c>
      <c r="J359" s="8">
        <v>0.75</v>
      </c>
      <c r="K359" s="8">
        <v>0.75</v>
      </c>
      <c r="L359" s="8">
        <v>0.75</v>
      </c>
      <c r="M359" s="8">
        <v>0.75</v>
      </c>
      <c r="P359" s="20" t="s">
        <v>517</v>
      </c>
    </row>
    <row r="360" spans="1:16" ht="15" hidden="1" customHeight="1" outlineLevel="1" x14ac:dyDescent="0.25">
      <c r="A360" s="38"/>
      <c r="C360" s="21" t="s">
        <v>142</v>
      </c>
      <c r="D360" s="19"/>
      <c r="E360" s="52">
        <f t="shared" ref="E360:J360" si="201">E258</f>
        <v>3584960</v>
      </c>
      <c r="F360" s="52">
        <f t="shared" si="201"/>
        <v>3584960</v>
      </c>
      <c r="G360" s="52">
        <f t="shared" si="201"/>
        <v>3518614.2592592593</v>
      </c>
      <c r="H360" s="52">
        <f t="shared" si="201"/>
        <v>2935441.4510091147</v>
      </c>
      <c r="I360" s="52">
        <f t="shared" si="201"/>
        <v>2681883.9000751665</v>
      </c>
      <c r="J360" s="52">
        <f t="shared" si="201"/>
        <v>2108112.9864316136</v>
      </c>
      <c r="K360" s="52">
        <f>K258</f>
        <v>2818933.1165646701</v>
      </c>
      <c r="L360" s="52">
        <f>L258</f>
        <v>1795993.6990749072</v>
      </c>
      <c r="M360" s="52">
        <f>M258</f>
        <v>1795993.6990749072</v>
      </c>
      <c r="N360" s="19"/>
      <c r="O360" s="20" t="s">
        <v>234</v>
      </c>
    </row>
    <row r="361" spans="1:16" ht="15" hidden="1" customHeight="1" outlineLevel="1" x14ac:dyDescent="0.25">
      <c r="A361" s="38"/>
      <c r="C361" s="21" t="s">
        <v>137</v>
      </c>
      <c r="E361" s="7">
        <f t="shared" ref="E361:M361" si="202">E23</f>
        <v>260</v>
      </c>
      <c r="F361" s="7">
        <f t="shared" si="202"/>
        <v>260</v>
      </c>
      <c r="G361" s="7">
        <f t="shared" si="202"/>
        <v>260</v>
      </c>
      <c r="H361" s="7">
        <f t="shared" si="202"/>
        <v>260</v>
      </c>
      <c r="I361" s="7">
        <f t="shared" si="202"/>
        <v>260</v>
      </c>
      <c r="J361" s="7">
        <f t="shared" si="202"/>
        <v>260</v>
      </c>
      <c r="K361" s="7">
        <f t="shared" si="202"/>
        <v>260</v>
      </c>
      <c r="L361" s="7">
        <f t="shared" si="202"/>
        <v>260</v>
      </c>
      <c r="M361" s="7">
        <f t="shared" si="202"/>
        <v>260</v>
      </c>
      <c r="O361" s="20" t="s">
        <v>8</v>
      </c>
      <c r="P361" s="20" t="s">
        <v>496</v>
      </c>
    </row>
    <row r="362" spans="1:16" ht="15" hidden="1" customHeight="1" outlineLevel="1" x14ac:dyDescent="0.25">
      <c r="C362" s="21"/>
    </row>
    <row r="363" spans="1:16" ht="15" hidden="1" customHeight="1" outlineLevel="1" x14ac:dyDescent="0.25">
      <c r="A363" s="39" t="s">
        <v>415</v>
      </c>
      <c r="C363" s="40"/>
      <c r="P363" s="20" t="s">
        <v>521</v>
      </c>
    </row>
    <row r="364" spans="1:16" ht="15" hidden="1" customHeight="1" outlineLevel="1" x14ac:dyDescent="0.25">
      <c r="A364" s="38"/>
      <c r="B364" s="20" t="s">
        <v>149</v>
      </c>
      <c r="C364" s="21"/>
      <c r="E364" s="7">
        <f>MIN(E365,E370)</f>
        <v>699.06719999999996</v>
      </c>
      <c r="F364" s="7">
        <f t="shared" ref="F364:M364" si="203">MIN(F365,F370)</f>
        <v>699.06719999999996</v>
      </c>
      <c r="G364" s="7">
        <f t="shared" si="203"/>
        <v>686.12978055555561</v>
      </c>
      <c r="H364" s="7">
        <f t="shared" si="203"/>
        <v>572.41108294677736</v>
      </c>
      <c r="I364" s="7">
        <f t="shared" si="203"/>
        <v>434.18679319664625</v>
      </c>
      <c r="J364" s="7">
        <f t="shared" si="203"/>
        <v>411.08203235416465</v>
      </c>
      <c r="K364" s="7">
        <f t="shared" si="203"/>
        <v>549.69195773011063</v>
      </c>
      <c r="L364" s="7">
        <f t="shared" si="203"/>
        <v>350.2187713196069</v>
      </c>
      <c r="M364" s="7">
        <f t="shared" si="203"/>
        <v>350.2187713196069</v>
      </c>
      <c r="O364" s="20" t="s">
        <v>6</v>
      </c>
      <c r="P364" s="20" t="s">
        <v>521</v>
      </c>
    </row>
    <row r="365" spans="1:16" ht="15" hidden="1" customHeight="1" outlineLevel="1" x14ac:dyDescent="0.25">
      <c r="A365" s="38"/>
      <c r="B365" s="20" t="s">
        <v>147</v>
      </c>
      <c r="C365" s="21"/>
      <c r="E365" s="7">
        <f>E366*E367*E368*E369/10^6</f>
        <v>755.7220232759953</v>
      </c>
      <c r="F365" s="7">
        <f t="shared" ref="F365:M365" si="204">F366*F367*F368*F369/10^6</f>
        <v>755.7220232759953</v>
      </c>
      <c r="G365" s="7">
        <f t="shared" si="204"/>
        <v>741.73611062192469</v>
      </c>
      <c r="H365" s="7">
        <f t="shared" si="204"/>
        <v>604.58330195458086</v>
      </c>
      <c r="I365" s="7">
        <f t="shared" si="204"/>
        <v>434.18679319664625</v>
      </c>
      <c r="J365" s="7">
        <f t="shared" si="204"/>
        <v>552.36060770650954</v>
      </c>
      <c r="K365" s="7">
        <f t="shared" si="204"/>
        <v>580.58725409628141</v>
      </c>
      <c r="L365" s="7">
        <f t="shared" si="204"/>
        <v>369.90272808986026</v>
      </c>
      <c r="M365" s="7">
        <f t="shared" si="204"/>
        <v>369.90272808986026</v>
      </c>
      <c r="O365" s="20" t="s">
        <v>6</v>
      </c>
      <c r="P365" s="20" t="s">
        <v>522</v>
      </c>
    </row>
    <row r="366" spans="1:16" ht="15" hidden="1" customHeight="1" outlineLevel="1" x14ac:dyDescent="0.25">
      <c r="A366" s="38"/>
      <c r="C366" s="21" t="s">
        <v>38</v>
      </c>
      <c r="E366" s="8">
        <v>0.9</v>
      </c>
      <c r="F366" s="8">
        <v>0.9</v>
      </c>
      <c r="G366" s="8">
        <v>0.9</v>
      </c>
      <c r="H366" s="8">
        <v>0.9</v>
      </c>
      <c r="I366" s="8">
        <v>0.9</v>
      </c>
      <c r="J366" s="8">
        <v>0.9</v>
      </c>
      <c r="K366" s="8">
        <v>0.9</v>
      </c>
      <c r="L366" s="8">
        <v>0.9</v>
      </c>
      <c r="M366" s="8">
        <v>0.9</v>
      </c>
      <c r="P366" s="20" t="s">
        <v>515</v>
      </c>
    </row>
    <row r="367" spans="1:16" ht="15" hidden="1" customHeight="1" outlineLevel="1" x14ac:dyDescent="0.25">
      <c r="A367" s="38"/>
      <c r="C367" s="21" t="s">
        <v>78</v>
      </c>
      <c r="D367" s="19"/>
      <c r="E367" s="52">
        <f>E259</f>
        <v>3584960</v>
      </c>
      <c r="F367" s="52">
        <f t="shared" ref="F367:M367" si="205">F259</f>
        <v>3584960</v>
      </c>
      <c r="G367" s="52">
        <f t="shared" si="205"/>
        <v>3518614.2592592593</v>
      </c>
      <c r="H367" s="52">
        <f t="shared" si="205"/>
        <v>2935441.4510091147</v>
      </c>
      <c r="I367" s="52">
        <f t="shared" si="205"/>
        <v>2108112.9864316136</v>
      </c>
      <c r="J367" s="52">
        <f t="shared" si="205"/>
        <v>2681883.9000751656</v>
      </c>
      <c r="K367" s="52">
        <f t="shared" si="205"/>
        <v>2818933.1165646701</v>
      </c>
      <c r="L367" s="52">
        <f t="shared" si="205"/>
        <v>1795993.6990749072</v>
      </c>
      <c r="M367" s="52">
        <f t="shared" si="205"/>
        <v>1795993.6990749072</v>
      </c>
      <c r="N367" s="19"/>
      <c r="O367" s="20" t="s">
        <v>234</v>
      </c>
    </row>
    <row r="368" spans="1:16" ht="15" hidden="1" customHeight="1" outlineLevel="1" x14ac:dyDescent="0.25">
      <c r="A368" s="38"/>
      <c r="C368" s="21" t="s">
        <v>148</v>
      </c>
      <c r="E368" s="10">
        <f>E450</f>
        <v>0.97594201071203024</v>
      </c>
      <c r="F368" s="10">
        <f t="shared" ref="F368:M368" si="206">F450</f>
        <v>0.97594201071203024</v>
      </c>
      <c r="G368" s="10">
        <f t="shared" si="206"/>
        <v>0.97594201071203024</v>
      </c>
      <c r="H368" s="10">
        <f t="shared" si="206"/>
        <v>0.95351817265714356</v>
      </c>
      <c r="I368" s="10">
        <f t="shared" si="206"/>
        <v>0.95351817265714356</v>
      </c>
      <c r="J368" s="10">
        <f t="shared" si="206"/>
        <v>0.95351817265714356</v>
      </c>
      <c r="K368" s="10">
        <f t="shared" si="206"/>
        <v>0.95351817265714356</v>
      </c>
      <c r="L368" s="10">
        <f t="shared" si="206"/>
        <v>0.95351817265714356</v>
      </c>
      <c r="M368" s="10">
        <f t="shared" si="206"/>
        <v>0.95351817265714356</v>
      </c>
      <c r="P368" s="20" t="s">
        <v>521</v>
      </c>
    </row>
    <row r="369" spans="1:16" ht="15" hidden="1" customHeight="1" outlineLevel="1" x14ac:dyDescent="0.25">
      <c r="A369" s="38"/>
      <c r="C369" s="21" t="s">
        <v>36</v>
      </c>
      <c r="E369" s="7">
        <f t="shared" ref="E369:M369" si="207">E22</f>
        <v>240</v>
      </c>
      <c r="F369" s="7">
        <f t="shared" si="207"/>
        <v>240</v>
      </c>
      <c r="G369" s="7">
        <f t="shared" si="207"/>
        <v>240</v>
      </c>
      <c r="H369" s="7">
        <f t="shared" si="207"/>
        <v>240</v>
      </c>
      <c r="I369" s="7">
        <f t="shared" si="207"/>
        <v>240</v>
      </c>
      <c r="J369" s="7">
        <f t="shared" si="207"/>
        <v>240</v>
      </c>
      <c r="K369" s="7">
        <f t="shared" si="207"/>
        <v>240</v>
      </c>
      <c r="L369" s="7">
        <f t="shared" si="207"/>
        <v>240</v>
      </c>
      <c r="M369" s="7">
        <f t="shared" si="207"/>
        <v>240</v>
      </c>
      <c r="O369" s="20" t="s">
        <v>8</v>
      </c>
      <c r="P369" s="20" t="s">
        <v>496</v>
      </c>
    </row>
    <row r="370" spans="1:16" ht="15" hidden="1" customHeight="1" outlineLevel="1" x14ac:dyDescent="0.25">
      <c r="A370" s="38"/>
      <c r="B370" s="20" t="s">
        <v>141</v>
      </c>
      <c r="C370" s="21"/>
      <c r="E370" s="7">
        <f>E371*E372*E373/10^6</f>
        <v>699.06719999999996</v>
      </c>
      <c r="F370" s="7">
        <f t="shared" ref="F370:M370" si="208">F371*F372*F373/10^6</f>
        <v>699.06719999999996</v>
      </c>
      <c r="G370" s="7">
        <f t="shared" si="208"/>
        <v>686.12978055555561</v>
      </c>
      <c r="H370" s="7">
        <f t="shared" si="208"/>
        <v>572.41108294677736</v>
      </c>
      <c r="I370" s="7">
        <f t="shared" si="208"/>
        <v>522.96736051465746</v>
      </c>
      <c r="J370" s="7">
        <f t="shared" si="208"/>
        <v>411.08203235416465</v>
      </c>
      <c r="K370" s="7">
        <f t="shared" si="208"/>
        <v>549.69195773011063</v>
      </c>
      <c r="L370" s="7">
        <f t="shared" si="208"/>
        <v>350.2187713196069</v>
      </c>
      <c r="M370" s="7">
        <f t="shared" si="208"/>
        <v>350.2187713196069</v>
      </c>
      <c r="O370" s="20" t="s">
        <v>6</v>
      </c>
      <c r="P370" s="20" t="s">
        <v>520</v>
      </c>
    </row>
    <row r="371" spans="1:16" ht="15" hidden="1" customHeight="1" outlineLevel="1" x14ac:dyDescent="0.25">
      <c r="A371" s="38"/>
      <c r="C371" s="21" t="s">
        <v>138</v>
      </c>
      <c r="E371" s="8">
        <v>0.75</v>
      </c>
      <c r="F371" s="8">
        <v>0.75</v>
      </c>
      <c r="G371" s="8">
        <v>0.75</v>
      </c>
      <c r="H371" s="8">
        <v>0.75</v>
      </c>
      <c r="I371" s="8">
        <v>0.75</v>
      </c>
      <c r="J371" s="8">
        <v>0.75</v>
      </c>
      <c r="K371" s="8">
        <v>0.75</v>
      </c>
      <c r="L371" s="8">
        <v>0.75</v>
      </c>
      <c r="M371" s="8">
        <v>0.75</v>
      </c>
      <c r="P371" s="20" t="s">
        <v>517</v>
      </c>
    </row>
    <row r="372" spans="1:16" ht="15" hidden="1" customHeight="1" outlineLevel="1" x14ac:dyDescent="0.25">
      <c r="A372" s="38"/>
      <c r="C372" s="21" t="s">
        <v>142</v>
      </c>
      <c r="D372" s="19"/>
      <c r="E372" s="52">
        <f>E258</f>
        <v>3584960</v>
      </c>
      <c r="F372" s="52">
        <f t="shared" ref="F372:M372" si="209">F258</f>
        <v>3584960</v>
      </c>
      <c r="G372" s="52">
        <f t="shared" si="209"/>
        <v>3518614.2592592593</v>
      </c>
      <c r="H372" s="52">
        <f t="shared" si="209"/>
        <v>2935441.4510091147</v>
      </c>
      <c r="I372" s="52">
        <f t="shared" si="209"/>
        <v>2681883.9000751665</v>
      </c>
      <c r="J372" s="52">
        <f t="shared" si="209"/>
        <v>2108112.9864316136</v>
      </c>
      <c r="K372" s="52">
        <f t="shared" si="209"/>
        <v>2818933.1165646701</v>
      </c>
      <c r="L372" s="52">
        <f t="shared" si="209"/>
        <v>1795993.6990749072</v>
      </c>
      <c r="M372" s="52">
        <f t="shared" si="209"/>
        <v>1795993.6990749072</v>
      </c>
      <c r="N372" s="19"/>
      <c r="O372" s="20" t="s">
        <v>234</v>
      </c>
    </row>
    <row r="373" spans="1:16" ht="15" hidden="1" customHeight="1" outlineLevel="1" x14ac:dyDescent="0.25">
      <c r="A373" s="38"/>
      <c r="C373" s="21" t="s">
        <v>137</v>
      </c>
      <c r="E373" s="7">
        <f t="shared" ref="E373:M373" si="210">E23</f>
        <v>260</v>
      </c>
      <c r="F373" s="7">
        <f t="shared" si="210"/>
        <v>260</v>
      </c>
      <c r="G373" s="7">
        <f t="shared" si="210"/>
        <v>260</v>
      </c>
      <c r="H373" s="7">
        <f t="shared" si="210"/>
        <v>260</v>
      </c>
      <c r="I373" s="7">
        <f t="shared" si="210"/>
        <v>260</v>
      </c>
      <c r="J373" s="7">
        <f t="shared" si="210"/>
        <v>260</v>
      </c>
      <c r="K373" s="7">
        <f t="shared" si="210"/>
        <v>260</v>
      </c>
      <c r="L373" s="7">
        <f t="shared" si="210"/>
        <v>260</v>
      </c>
      <c r="M373" s="7">
        <f t="shared" si="210"/>
        <v>260</v>
      </c>
      <c r="O373" s="20" t="s">
        <v>8</v>
      </c>
      <c r="P373" s="20" t="s">
        <v>496</v>
      </c>
    </row>
    <row r="374" spans="1:16" ht="15" hidden="1" customHeight="1" outlineLevel="1" x14ac:dyDescent="0.25">
      <c r="C374" s="21"/>
    </row>
    <row r="375" spans="1:16" ht="15" hidden="1" customHeight="1" outlineLevel="1" x14ac:dyDescent="0.25">
      <c r="A375" s="53" t="s">
        <v>414</v>
      </c>
      <c r="B375" s="21"/>
      <c r="C375" s="40"/>
      <c r="P375" s="20" t="s">
        <v>521</v>
      </c>
    </row>
    <row r="376" spans="1:16" ht="15" hidden="1" customHeight="1" outlineLevel="1" x14ac:dyDescent="0.25">
      <c r="A376" s="38"/>
      <c r="B376" s="20" t="s">
        <v>150</v>
      </c>
      <c r="C376" s="21"/>
      <c r="E376" s="7">
        <f>MIN(E377,E381)</f>
        <v>699.06719999999996</v>
      </c>
      <c r="F376" s="7">
        <f t="shared" ref="F376:M376" si="211">MIN(F377,F381)</f>
        <v>699.06719999999996</v>
      </c>
      <c r="G376" s="7">
        <f t="shared" si="211"/>
        <v>686.12978055555561</v>
      </c>
      <c r="H376" s="7">
        <f t="shared" si="211"/>
        <v>572.41108294677736</v>
      </c>
      <c r="I376" s="7">
        <f t="shared" si="211"/>
        <v>455.35240506922855</v>
      </c>
      <c r="J376" s="7">
        <f t="shared" si="211"/>
        <v>411.08203235416465</v>
      </c>
      <c r="K376" s="7">
        <f t="shared" si="211"/>
        <v>549.69195773011063</v>
      </c>
      <c r="L376" s="7">
        <f t="shared" si="211"/>
        <v>350.2187713196069</v>
      </c>
      <c r="M376" s="7">
        <f t="shared" si="211"/>
        <v>350.2187713196069</v>
      </c>
      <c r="O376" s="20" t="s">
        <v>6</v>
      </c>
      <c r="P376" s="20" t="s">
        <v>521</v>
      </c>
    </row>
    <row r="377" spans="1:16" ht="15" hidden="1" customHeight="1" outlineLevel="1" x14ac:dyDescent="0.25">
      <c r="A377" s="38"/>
      <c r="B377" s="20" t="s">
        <v>448</v>
      </c>
      <c r="C377" s="21"/>
      <c r="E377" s="7">
        <f t="shared" ref="E377:M377" si="212">E378*E379*E380/10^6</f>
        <v>774.35136</v>
      </c>
      <c r="F377" s="7">
        <f t="shared" si="212"/>
        <v>774.35136</v>
      </c>
      <c r="G377" s="7">
        <f t="shared" si="212"/>
        <v>760.02067999999997</v>
      </c>
      <c r="H377" s="7">
        <f t="shared" si="212"/>
        <v>634.05535341796872</v>
      </c>
      <c r="I377" s="7">
        <f t="shared" si="212"/>
        <v>455.35240506922855</v>
      </c>
      <c r="J377" s="7">
        <f t="shared" si="212"/>
        <v>579.28692241623583</v>
      </c>
      <c r="K377" s="7">
        <f t="shared" si="212"/>
        <v>608.88955317796876</v>
      </c>
      <c r="L377" s="7">
        <f t="shared" si="212"/>
        <v>387.93463900017997</v>
      </c>
      <c r="M377" s="7">
        <f t="shared" si="212"/>
        <v>387.93463900017997</v>
      </c>
      <c r="O377" s="20" t="s">
        <v>6</v>
      </c>
      <c r="P377" s="20" t="s">
        <v>522</v>
      </c>
    </row>
    <row r="378" spans="1:16" ht="15" hidden="1" customHeight="1" outlineLevel="1" x14ac:dyDescent="0.25">
      <c r="A378" s="38"/>
      <c r="C378" s="21" t="s">
        <v>38</v>
      </c>
      <c r="E378" s="8">
        <v>0.9</v>
      </c>
      <c r="F378" s="8">
        <v>0.9</v>
      </c>
      <c r="G378" s="8">
        <v>0.9</v>
      </c>
      <c r="H378" s="8">
        <v>0.9</v>
      </c>
      <c r="I378" s="8">
        <v>0.9</v>
      </c>
      <c r="J378" s="8">
        <v>0.9</v>
      </c>
      <c r="K378" s="8">
        <v>0.9</v>
      </c>
      <c r="L378" s="8">
        <v>0.9</v>
      </c>
      <c r="M378" s="8">
        <v>0.9</v>
      </c>
      <c r="P378" s="20" t="s">
        <v>515</v>
      </c>
    </row>
    <row r="379" spans="1:16" ht="15" hidden="1" customHeight="1" outlineLevel="1" x14ac:dyDescent="0.25">
      <c r="A379" s="38"/>
      <c r="C379" s="21" t="s">
        <v>78</v>
      </c>
      <c r="D379" s="19"/>
      <c r="E379" s="52">
        <f>E259</f>
        <v>3584960</v>
      </c>
      <c r="F379" s="52">
        <f t="shared" ref="F379:M379" si="213">F259</f>
        <v>3584960</v>
      </c>
      <c r="G379" s="52">
        <f t="shared" si="213"/>
        <v>3518614.2592592593</v>
      </c>
      <c r="H379" s="52">
        <f t="shared" si="213"/>
        <v>2935441.4510091147</v>
      </c>
      <c r="I379" s="52">
        <f t="shared" si="213"/>
        <v>2108112.9864316136</v>
      </c>
      <c r="J379" s="52">
        <f t="shared" si="213"/>
        <v>2681883.9000751656</v>
      </c>
      <c r="K379" s="52">
        <f t="shared" si="213"/>
        <v>2818933.1165646701</v>
      </c>
      <c r="L379" s="52">
        <f t="shared" si="213"/>
        <v>1795993.6990749072</v>
      </c>
      <c r="M379" s="52">
        <f t="shared" si="213"/>
        <v>1795993.6990749072</v>
      </c>
      <c r="N379" s="19"/>
      <c r="O379" s="20" t="s">
        <v>234</v>
      </c>
    </row>
    <row r="380" spans="1:16" ht="15" hidden="1" customHeight="1" outlineLevel="1" x14ac:dyDescent="0.25">
      <c r="A380" s="38"/>
      <c r="C380" s="21" t="s">
        <v>36</v>
      </c>
      <c r="E380" s="7">
        <f>E22</f>
        <v>240</v>
      </c>
      <c r="F380" s="7">
        <f t="shared" ref="F380:M380" si="214">F22</f>
        <v>240</v>
      </c>
      <c r="G380" s="7">
        <f t="shared" si="214"/>
        <v>240</v>
      </c>
      <c r="H380" s="7">
        <f t="shared" si="214"/>
        <v>240</v>
      </c>
      <c r="I380" s="7">
        <f t="shared" si="214"/>
        <v>240</v>
      </c>
      <c r="J380" s="7">
        <f t="shared" si="214"/>
        <v>240</v>
      </c>
      <c r="K380" s="7">
        <f t="shared" si="214"/>
        <v>240</v>
      </c>
      <c r="L380" s="7">
        <f t="shared" si="214"/>
        <v>240</v>
      </c>
      <c r="M380" s="7">
        <f t="shared" si="214"/>
        <v>240</v>
      </c>
      <c r="O380" s="20" t="s">
        <v>8</v>
      </c>
      <c r="P380" s="20" t="s">
        <v>496</v>
      </c>
    </row>
    <row r="381" spans="1:16" ht="15" hidden="1" customHeight="1" outlineLevel="1" x14ac:dyDescent="0.25">
      <c r="A381" s="38"/>
      <c r="B381" s="20" t="s">
        <v>141</v>
      </c>
      <c r="C381" s="21"/>
      <c r="E381" s="7">
        <f t="shared" ref="E381:M381" si="215">E382*E383*E384/10^6</f>
        <v>699.06719999999996</v>
      </c>
      <c r="F381" s="7">
        <f t="shared" si="215"/>
        <v>699.06719999999996</v>
      </c>
      <c r="G381" s="7">
        <f t="shared" si="215"/>
        <v>686.12978055555561</v>
      </c>
      <c r="H381" s="7">
        <f t="shared" si="215"/>
        <v>572.41108294677736</v>
      </c>
      <c r="I381" s="7">
        <f t="shared" si="215"/>
        <v>522.96736051465746</v>
      </c>
      <c r="J381" s="7">
        <f t="shared" si="215"/>
        <v>411.08203235416465</v>
      </c>
      <c r="K381" s="7">
        <f t="shared" si="215"/>
        <v>549.69195773011063</v>
      </c>
      <c r="L381" s="7">
        <f t="shared" si="215"/>
        <v>350.2187713196069</v>
      </c>
      <c r="M381" s="7">
        <f t="shared" si="215"/>
        <v>350.2187713196069</v>
      </c>
      <c r="O381" s="20" t="s">
        <v>6</v>
      </c>
      <c r="P381" s="20" t="s">
        <v>520</v>
      </c>
    </row>
    <row r="382" spans="1:16" ht="15" hidden="1" customHeight="1" outlineLevel="1" x14ac:dyDescent="0.25">
      <c r="A382" s="38"/>
      <c r="C382" s="21" t="s">
        <v>138</v>
      </c>
      <c r="E382" s="8">
        <v>0.75</v>
      </c>
      <c r="F382" s="8">
        <v>0.75</v>
      </c>
      <c r="G382" s="8">
        <v>0.75</v>
      </c>
      <c r="H382" s="8">
        <v>0.75</v>
      </c>
      <c r="I382" s="8">
        <v>0.75</v>
      </c>
      <c r="J382" s="8">
        <v>0.75</v>
      </c>
      <c r="K382" s="8">
        <v>0.75</v>
      </c>
      <c r="L382" s="8">
        <v>0.75</v>
      </c>
      <c r="M382" s="8">
        <v>0.75</v>
      </c>
      <c r="P382" s="20" t="s">
        <v>517</v>
      </c>
    </row>
    <row r="383" spans="1:16" ht="15" hidden="1" customHeight="1" outlineLevel="1" x14ac:dyDescent="0.25">
      <c r="A383" s="38"/>
      <c r="C383" s="21" t="s">
        <v>142</v>
      </c>
      <c r="D383" s="19"/>
      <c r="E383" s="52">
        <f>E258</f>
        <v>3584960</v>
      </c>
      <c r="F383" s="52">
        <f t="shared" ref="F383:M383" si="216">F258</f>
        <v>3584960</v>
      </c>
      <c r="G383" s="52">
        <f t="shared" si="216"/>
        <v>3518614.2592592593</v>
      </c>
      <c r="H383" s="52">
        <f t="shared" si="216"/>
        <v>2935441.4510091147</v>
      </c>
      <c r="I383" s="52">
        <f t="shared" si="216"/>
        <v>2681883.9000751665</v>
      </c>
      <c r="J383" s="52">
        <f t="shared" si="216"/>
        <v>2108112.9864316136</v>
      </c>
      <c r="K383" s="52">
        <f t="shared" si="216"/>
        <v>2818933.1165646701</v>
      </c>
      <c r="L383" s="52">
        <f t="shared" si="216"/>
        <v>1795993.6990749072</v>
      </c>
      <c r="M383" s="52">
        <f t="shared" si="216"/>
        <v>1795993.6990749072</v>
      </c>
      <c r="N383" s="19"/>
      <c r="O383" s="20" t="s">
        <v>234</v>
      </c>
    </row>
    <row r="384" spans="1:16" ht="15" hidden="1" customHeight="1" outlineLevel="1" x14ac:dyDescent="0.25">
      <c r="A384" s="38"/>
      <c r="C384" s="21" t="s">
        <v>137</v>
      </c>
      <c r="E384" s="7">
        <f>E23</f>
        <v>260</v>
      </c>
      <c r="F384" s="7">
        <f t="shared" ref="F384:M384" si="217">F23</f>
        <v>260</v>
      </c>
      <c r="G384" s="7">
        <f t="shared" si="217"/>
        <v>260</v>
      </c>
      <c r="H384" s="7">
        <f t="shared" si="217"/>
        <v>260</v>
      </c>
      <c r="I384" s="7">
        <f t="shared" si="217"/>
        <v>260</v>
      </c>
      <c r="J384" s="7">
        <f t="shared" si="217"/>
        <v>260</v>
      </c>
      <c r="K384" s="7">
        <f t="shared" si="217"/>
        <v>260</v>
      </c>
      <c r="L384" s="7">
        <f t="shared" si="217"/>
        <v>260</v>
      </c>
      <c r="M384" s="7">
        <f t="shared" si="217"/>
        <v>260</v>
      </c>
      <c r="O384" s="20" t="s">
        <v>8</v>
      </c>
      <c r="P384" s="20" t="s">
        <v>496</v>
      </c>
    </row>
    <row r="385" spans="1:16" ht="15" customHeight="1" collapsed="1" x14ac:dyDescent="0.25">
      <c r="C385" s="21"/>
    </row>
    <row r="386" spans="1:16" ht="15" customHeight="1" x14ac:dyDescent="0.25">
      <c r="C386" s="21"/>
    </row>
    <row r="387" spans="1:16" ht="15" customHeight="1" x14ac:dyDescent="0.3">
      <c r="A387" s="54" t="s">
        <v>463</v>
      </c>
      <c r="C387" s="21"/>
      <c r="P387" s="20" t="s">
        <v>494</v>
      </c>
    </row>
    <row r="388" spans="1:16" ht="15" hidden="1" customHeight="1" outlineLevel="1" x14ac:dyDescent="0.25">
      <c r="A388" s="21"/>
      <c r="C388" s="21"/>
    </row>
    <row r="389" spans="1:16" ht="15" hidden="1" customHeight="1" outlineLevel="1" x14ac:dyDescent="0.25">
      <c r="A389" s="53" t="s">
        <v>37</v>
      </c>
      <c r="C389" s="40"/>
      <c r="P389" s="20" t="s">
        <v>494</v>
      </c>
    </row>
    <row r="390" spans="1:16" ht="15" hidden="1" customHeight="1" outlineLevel="1" x14ac:dyDescent="0.25">
      <c r="A390" s="55"/>
      <c r="B390" s="20" t="s">
        <v>186</v>
      </c>
      <c r="C390" s="21"/>
      <c r="E390" s="7">
        <f t="shared" ref="E390:J390" si="218">MIN(E392,E398)</f>
        <v>587.62565516104701</v>
      </c>
      <c r="F390" s="7">
        <f t="shared" si="218"/>
        <v>463.84121962524159</v>
      </c>
      <c r="G390" s="7">
        <f t="shared" si="218"/>
        <v>455.44417901595148</v>
      </c>
      <c r="H390" s="7">
        <f t="shared" si="218"/>
        <v>436.76610908632171</v>
      </c>
      <c r="I390" s="7">
        <f t="shared" si="218"/>
        <v>407.16605398282377</v>
      </c>
      <c r="J390" s="7">
        <f t="shared" si="218"/>
        <v>407.16605398282377</v>
      </c>
      <c r="K390" s="7">
        <f>MIN(K392,K398)</f>
        <v>359.12509384866559</v>
      </c>
      <c r="L390" s="7">
        <f>MIN(L392,L398)</f>
        <v>274.22838075776212</v>
      </c>
      <c r="M390" s="7">
        <f>MIN(M392,M398)</f>
        <v>291.32052445290157</v>
      </c>
      <c r="O390" s="20" t="s">
        <v>6</v>
      </c>
      <c r="P390" s="20" t="s">
        <v>494</v>
      </c>
    </row>
    <row r="391" spans="1:16" ht="15" hidden="1" customHeight="1" outlineLevel="1" x14ac:dyDescent="0.25">
      <c r="A391" s="21"/>
      <c r="B391" s="20" t="s">
        <v>184</v>
      </c>
      <c r="C391" s="40"/>
      <c r="P391" s="20" t="s">
        <v>494</v>
      </c>
    </row>
    <row r="392" spans="1:16" ht="15" hidden="1" customHeight="1" outlineLevel="1" x14ac:dyDescent="0.25">
      <c r="A392" s="55"/>
      <c r="B392" s="20" t="s">
        <v>183</v>
      </c>
      <c r="C392" s="21"/>
      <c r="E392" s="7">
        <f t="shared" ref="E392:M392" si="219">E393*E394*E395*E396/10^6</f>
        <v>587.62565516104701</v>
      </c>
      <c r="F392" s="7">
        <f t="shared" si="219"/>
        <v>510.85656931827668</v>
      </c>
      <c r="G392" s="7">
        <f t="shared" si="219"/>
        <v>510.85656931827668</v>
      </c>
      <c r="H392" s="7">
        <f t="shared" si="219"/>
        <v>504.21152010201422</v>
      </c>
      <c r="I392" s="7">
        <f t="shared" si="219"/>
        <v>504.21152010201422</v>
      </c>
      <c r="J392" s="7">
        <f t="shared" si="219"/>
        <v>504.21152010201422</v>
      </c>
      <c r="K392" s="7">
        <f t="shared" si="219"/>
        <v>504.21152010201422</v>
      </c>
      <c r="L392" s="7">
        <f t="shared" si="219"/>
        <v>291.32052445290157</v>
      </c>
      <c r="M392" s="7">
        <f t="shared" si="219"/>
        <v>291.32052445290157</v>
      </c>
      <c r="O392" s="20" t="s">
        <v>6</v>
      </c>
      <c r="P392" s="20" t="s">
        <v>494</v>
      </c>
    </row>
    <row r="393" spans="1:16" ht="15" hidden="1" customHeight="1" outlineLevel="1" x14ac:dyDescent="0.25">
      <c r="A393" s="55"/>
      <c r="C393" s="21" t="s">
        <v>38</v>
      </c>
      <c r="E393" s="8">
        <v>0.9</v>
      </c>
      <c r="F393" s="8">
        <v>0.9</v>
      </c>
      <c r="G393" s="8">
        <v>0.9</v>
      </c>
      <c r="H393" s="8">
        <v>0.9</v>
      </c>
      <c r="I393" s="8">
        <v>0.9</v>
      </c>
      <c r="J393" s="8">
        <v>0.9</v>
      </c>
      <c r="K393" s="8">
        <v>0.9</v>
      </c>
      <c r="L393" s="8">
        <v>0.9</v>
      </c>
      <c r="M393" s="8">
        <v>0.9</v>
      </c>
      <c r="P393" s="20" t="s">
        <v>515</v>
      </c>
    </row>
    <row r="394" spans="1:16" ht="15" hidden="1" customHeight="1" outlineLevel="1" x14ac:dyDescent="0.25">
      <c r="A394" s="55"/>
      <c r="C394" s="21" t="s">
        <v>167</v>
      </c>
      <c r="D394" s="19"/>
      <c r="E394" s="56">
        <f t="shared" ref="E394:M394" si="220">MIN(E78:E79)</f>
        <v>3584960</v>
      </c>
      <c r="F394" s="56">
        <f t="shared" si="220"/>
        <v>3584960</v>
      </c>
      <c r="G394" s="56">
        <f t="shared" si="220"/>
        <v>3584960</v>
      </c>
      <c r="H394" s="56">
        <f t="shared" si="220"/>
        <v>3584960</v>
      </c>
      <c r="I394" s="56">
        <f t="shared" si="220"/>
        <v>3584960</v>
      </c>
      <c r="J394" s="56">
        <f t="shared" si="220"/>
        <v>3584960</v>
      </c>
      <c r="K394" s="56">
        <f t="shared" si="220"/>
        <v>3584960</v>
      </c>
      <c r="L394" s="56">
        <f t="shared" si="220"/>
        <v>3584960</v>
      </c>
      <c r="M394" s="56">
        <f t="shared" si="220"/>
        <v>3584960</v>
      </c>
      <c r="N394" s="19"/>
      <c r="O394" s="20" t="s">
        <v>234</v>
      </c>
    </row>
    <row r="395" spans="1:16" ht="15" hidden="1" customHeight="1" outlineLevel="1" x14ac:dyDescent="0.25">
      <c r="A395" s="55"/>
      <c r="C395" s="21" t="s">
        <v>40</v>
      </c>
      <c r="E395" s="8">
        <f t="shared" ref="E395:M395" si="221">E406</f>
        <v>0.7775685199879927</v>
      </c>
      <c r="F395" s="8">
        <f t="shared" si="221"/>
        <v>0.67598475839536065</v>
      </c>
      <c r="G395" s="8">
        <f t="shared" si="221"/>
        <v>0.67598475839536065</v>
      </c>
      <c r="H395" s="8">
        <f t="shared" si="221"/>
        <v>0.68288209250813325</v>
      </c>
      <c r="I395" s="8">
        <f t="shared" si="221"/>
        <v>0.68288209250813325</v>
      </c>
      <c r="J395" s="8">
        <f t="shared" si="221"/>
        <v>0.68288209250813325</v>
      </c>
      <c r="K395" s="8">
        <f t="shared" si="221"/>
        <v>0.68288209250813325</v>
      </c>
      <c r="L395" s="8">
        <f t="shared" si="221"/>
        <v>0.85991388258654955</v>
      </c>
      <c r="M395" s="8">
        <f t="shared" si="221"/>
        <v>0.85991388258654955</v>
      </c>
      <c r="P395" s="20" t="s">
        <v>500</v>
      </c>
    </row>
    <row r="396" spans="1:16" ht="15" hidden="1" customHeight="1" outlineLevel="1" x14ac:dyDescent="0.25">
      <c r="A396" s="55"/>
      <c r="C396" s="1" t="s">
        <v>44</v>
      </c>
      <c r="D396" s="41"/>
      <c r="E396" s="57">
        <f t="shared" ref="E396:J396" si="222">E411</f>
        <v>234.22608257088726</v>
      </c>
      <c r="F396" s="57">
        <f t="shared" si="222"/>
        <v>234.22608257088726</v>
      </c>
      <c r="G396" s="57">
        <f t="shared" si="222"/>
        <v>234.22608257088726</v>
      </c>
      <c r="H396" s="57">
        <f t="shared" si="222"/>
        <v>228.84436143771444</v>
      </c>
      <c r="I396" s="57">
        <f t="shared" si="222"/>
        <v>228.84436143771444</v>
      </c>
      <c r="J396" s="57">
        <f t="shared" si="222"/>
        <v>228.84436143771444</v>
      </c>
      <c r="K396" s="57">
        <f>K411</f>
        <v>228.84436143771444</v>
      </c>
      <c r="L396" s="57">
        <f>L411</f>
        <v>105</v>
      </c>
      <c r="M396" s="57">
        <f>M411</f>
        <v>105</v>
      </c>
      <c r="N396" s="41"/>
      <c r="O396" s="20" t="s">
        <v>8</v>
      </c>
      <c r="P396" s="20" t="s">
        <v>523</v>
      </c>
    </row>
    <row r="397" spans="1:16" ht="15" hidden="1" customHeight="1" outlineLevel="1" x14ac:dyDescent="0.25">
      <c r="A397" s="21"/>
      <c r="B397" s="20" t="s">
        <v>185</v>
      </c>
      <c r="C397" s="40"/>
      <c r="P397" s="20" t="s">
        <v>494</v>
      </c>
    </row>
    <row r="398" spans="1:16" ht="15" hidden="1" customHeight="1" outlineLevel="1" x14ac:dyDescent="0.25">
      <c r="A398" s="55"/>
      <c r="B398" s="20" t="s">
        <v>173</v>
      </c>
      <c r="C398" s="21"/>
      <c r="E398" s="7">
        <f t="shared" ref="E398:M398" si="223">E399*E400*E401*E402*E403/10^6</f>
        <v>596.53352136942055</v>
      </c>
      <c r="F398" s="7">
        <f t="shared" si="223"/>
        <v>463.84121962524159</v>
      </c>
      <c r="G398" s="7">
        <f t="shared" si="223"/>
        <v>455.44417901595148</v>
      </c>
      <c r="H398" s="7">
        <f t="shared" si="223"/>
        <v>436.76610908632171</v>
      </c>
      <c r="I398" s="7">
        <f t="shared" si="223"/>
        <v>407.16605398282377</v>
      </c>
      <c r="J398" s="7">
        <f t="shared" si="223"/>
        <v>407.16605398282377</v>
      </c>
      <c r="K398" s="7">
        <f t="shared" si="223"/>
        <v>359.12509384866559</v>
      </c>
      <c r="L398" s="7">
        <f t="shared" si="223"/>
        <v>274.22838075776212</v>
      </c>
      <c r="M398" s="7">
        <f t="shared" si="223"/>
        <v>291.32052445290157</v>
      </c>
      <c r="O398" s="20" t="s">
        <v>6</v>
      </c>
      <c r="P398" s="20" t="s">
        <v>494</v>
      </c>
    </row>
    <row r="399" spans="1:16" ht="15" hidden="1" customHeight="1" outlineLevel="1" x14ac:dyDescent="0.25">
      <c r="A399" s="55"/>
      <c r="C399" s="21" t="s">
        <v>38</v>
      </c>
      <c r="E399" s="8">
        <v>0.9</v>
      </c>
      <c r="F399" s="8">
        <v>0.9</v>
      </c>
      <c r="G399" s="8">
        <v>0.9</v>
      </c>
      <c r="H399" s="8">
        <v>0.9</v>
      </c>
      <c r="I399" s="8">
        <v>0.9</v>
      </c>
      <c r="J399" s="8">
        <v>0.9</v>
      </c>
      <c r="K399" s="8">
        <v>0.9</v>
      </c>
      <c r="L399" s="8">
        <v>0.9</v>
      </c>
      <c r="M399" s="8">
        <v>0.9</v>
      </c>
      <c r="P399" s="20" t="s">
        <v>515</v>
      </c>
    </row>
    <row r="400" spans="1:16" ht="15" hidden="1" customHeight="1" outlineLevel="1" x14ac:dyDescent="0.25">
      <c r="A400" s="55"/>
      <c r="C400" s="21" t="s">
        <v>167</v>
      </c>
      <c r="D400" s="19"/>
      <c r="E400" s="56">
        <f t="shared" ref="E400:M400" si="224">MIN(E78:E79)</f>
        <v>3584960</v>
      </c>
      <c r="F400" s="56">
        <f t="shared" si="224"/>
        <v>3584960</v>
      </c>
      <c r="G400" s="56">
        <f t="shared" si="224"/>
        <v>3584960</v>
      </c>
      <c r="H400" s="56">
        <f t="shared" si="224"/>
        <v>3584960</v>
      </c>
      <c r="I400" s="56">
        <f t="shared" si="224"/>
        <v>3584960</v>
      </c>
      <c r="J400" s="56">
        <f t="shared" si="224"/>
        <v>3584960</v>
      </c>
      <c r="K400" s="56">
        <f t="shared" si="224"/>
        <v>3584960</v>
      </c>
      <c r="L400" s="56">
        <f t="shared" si="224"/>
        <v>3584960</v>
      </c>
      <c r="M400" s="56">
        <f t="shared" si="224"/>
        <v>3584960</v>
      </c>
      <c r="N400" s="19"/>
      <c r="O400" s="20" t="s">
        <v>234</v>
      </c>
    </row>
    <row r="401" spans="1:16" ht="15" hidden="1" customHeight="1" outlineLevel="1" x14ac:dyDescent="0.25">
      <c r="A401" s="55"/>
      <c r="C401" s="21" t="s">
        <v>31</v>
      </c>
      <c r="E401" s="8">
        <f t="shared" ref="E401:G402" si="225">E420</f>
        <v>1</v>
      </c>
      <c r="F401" s="8">
        <f t="shared" si="225"/>
        <v>0.91278353312654126</v>
      </c>
      <c r="G401" s="8">
        <f t="shared" si="225"/>
        <v>0.91429544778312588</v>
      </c>
      <c r="H401" s="8">
        <f t="shared" ref="H401:M402" si="226">H420</f>
        <v>0.91751538198934302</v>
      </c>
      <c r="I401" s="8">
        <f t="shared" si="226"/>
        <v>0.92229503777284383</v>
      </c>
      <c r="J401" s="8">
        <f t="shared" si="226"/>
        <v>0.92229503777284383</v>
      </c>
      <c r="K401" s="8">
        <f t="shared" si="226"/>
        <v>0.92947610726849783</v>
      </c>
      <c r="L401" s="8">
        <f t="shared" si="226"/>
        <v>0.9413287349827536</v>
      </c>
      <c r="M401" s="8">
        <f t="shared" si="226"/>
        <v>1</v>
      </c>
      <c r="P401" s="20" t="s">
        <v>501</v>
      </c>
    </row>
    <row r="402" spans="1:16" ht="15" hidden="1" customHeight="1" outlineLevel="1" x14ac:dyDescent="0.25">
      <c r="A402" s="55"/>
      <c r="C402" s="21" t="s">
        <v>40</v>
      </c>
      <c r="E402" s="8">
        <f t="shared" si="225"/>
        <v>0.77036543381213995</v>
      </c>
      <c r="F402" s="8">
        <f t="shared" si="225"/>
        <v>0.67879611161324493</v>
      </c>
      <c r="G402" s="8">
        <f t="shared" si="225"/>
        <v>0.68908944782712211</v>
      </c>
      <c r="H402" s="8">
        <f t="shared" si="226"/>
        <v>0.71092604424164418</v>
      </c>
      <c r="I402" s="8">
        <f t="shared" si="226"/>
        <v>0.74291472313854756</v>
      </c>
      <c r="J402" s="8">
        <f t="shared" si="226"/>
        <v>0.74291472313854756</v>
      </c>
      <c r="K402" s="8">
        <f t="shared" si="226"/>
        <v>0.78935025068013864</v>
      </c>
      <c r="L402" s="8">
        <f t="shared" si="226"/>
        <v>0.85991388258654955</v>
      </c>
      <c r="M402" s="8">
        <f t="shared" si="226"/>
        <v>0.85991388258654955</v>
      </c>
      <c r="P402" s="20" t="s">
        <v>500</v>
      </c>
    </row>
    <row r="403" spans="1:16" ht="15" hidden="1" customHeight="1" outlineLevel="1" x14ac:dyDescent="0.25">
      <c r="A403" s="55"/>
      <c r="C403" s="1" t="s">
        <v>44</v>
      </c>
      <c r="D403" s="41"/>
      <c r="E403" s="57">
        <f t="shared" ref="E403:J403" si="227">E426</f>
        <v>240</v>
      </c>
      <c r="F403" s="57">
        <f t="shared" si="227"/>
        <v>232.02531645569621</v>
      </c>
      <c r="G403" s="57">
        <f t="shared" si="227"/>
        <v>224.0506329113924</v>
      </c>
      <c r="H403" s="57">
        <f t="shared" si="227"/>
        <v>207.53164556962025</v>
      </c>
      <c r="I403" s="57">
        <f t="shared" si="227"/>
        <v>184.17721518987341</v>
      </c>
      <c r="J403" s="57">
        <f t="shared" si="227"/>
        <v>184.17721518987341</v>
      </c>
      <c r="K403" s="57">
        <f>K426</f>
        <v>151.70886075949369</v>
      </c>
      <c r="L403" s="57">
        <f>L426</f>
        <v>105</v>
      </c>
      <c r="M403" s="57">
        <f>M426</f>
        <v>105</v>
      </c>
      <c r="N403" s="41"/>
      <c r="O403" s="20" t="s">
        <v>8</v>
      </c>
      <c r="P403" s="20" t="s">
        <v>523</v>
      </c>
    </row>
    <row r="404" spans="1:16" ht="15" hidden="1" customHeight="1" outlineLevel="1" x14ac:dyDescent="0.25">
      <c r="A404" s="55"/>
      <c r="B404" s="43"/>
      <c r="C404" s="1"/>
      <c r="D404" s="41"/>
      <c r="E404" s="58"/>
      <c r="F404" s="58"/>
      <c r="G404" s="58"/>
      <c r="H404" s="58"/>
      <c r="I404" s="58"/>
      <c r="J404" s="58"/>
      <c r="K404" s="58"/>
      <c r="L404" s="58"/>
      <c r="M404" s="58"/>
      <c r="N404" s="41"/>
      <c r="O404" s="43"/>
      <c r="P404" s="1"/>
    </row>
    <row r="405" spans="1:16" ht="15" hidden="1" customHeight="1" outlineLevel="1" x14ac:dyDescent="0.25">
      <c r="A405" s="53" t="s">
        <v>180</v>
      </c>
      <c r="C405" s="1"/>
      <c r="D405" s="59"/>
      <c r="E405" s="60"/>
      <c r="F405" s="60"/>
      <c r="G405" s="60"/>
      <c r="H405" s="60"/>
      <c r="I405" s="60"/>
      <c r="J405" s="60"/>
      <c r="K405" s="60"/>
      <c r="L405" s="60"/>
      <c r="M405" s="60"/>
      <c r="N405" s="59"/>
      <c r="O405" s="38"/>
      <c r="P405" s="20" t="s">
        <v>500</v>
      </c>
    </row>
    <row r="406" spans="1:16" ht="15" hidden="1" customHeight="1" outlineLevel="1" x14ac:dyDescent="0.25">
      <c r="A406" s="55"/>
      <c r="B406" s="43" t="s">
        <v>56</v>
      </c>
      <c r="C406" s="1"/>
      <c r="D406" s="41"/>
      <c r="E406" s="51">
        <f t="shared" ref="E406:M406" si="228">MIN(1,E407-SQRT(E407^2-1/E410^2))</f>
        <v>0.7775685199879927</v>
      </c>
      <c r="F406" s="51">
        <f t="shared" si="228"/>
        <v>0.67598475839536065</v>
      </c>
      <c r="G406" s="51">
        <f t="shared" si="228"/>
        <v>0.67598475839536065</v>
      </c>
      <c r="H406" s="51">
        <f t="shared" si="228"/>
        <v>0.68288209250813325</v>
      </c>
      <c r="I406" s="51">
        <f t="shared" si="228"/>
        <v>0.68288209250813325</v>
      </c>
      <c r="J406" s="51">
        <f t="shared" si="228"/>
        <v>0.68288209250813325</v>
      </c>
      <c r="K406" s="51">
        <f t="shared" si="228"/>
        <v>0.68288209250813325</v>
      </c>
      <c r="L406" s="51">
        <f t="shared" si="228"/>
        <v>0.85991388258654955</v>
      </c>
      <c r="M406" s="51">
        <f t="shared" si="228"/>
        <v>0.85991388258654955</v>
      </c>
      <c r="N406" s="41"/>
      <c r="O406" s="43"/>
      <c r="P406" s="20" t="s">
        <v>500</v>
      </c>
    </row>
    <row r="407" spans="1:16" ht="15" hidden="1" customHeight="1" outlineLevel="1" x14ac:dyDescent="0.25">
      <c r="A407" s="55"/>
      <c r="B407" s="43" t="s">
        <v>57</v>
      </c>
      <c r="C407" s="1"/>
      <c r="D407" s="41"/>
      <c r="E407" s="51">
        <f t="shared" ref="E407:M407" si="229">(1+E408*(E410-E409)+E410^2)/(2*E410^2)</f>
        <v>1.2261871866104879</v>
      </c>
      <c r="F407" s="51">
        <f t="shared" si="229"/>
        <v>1.3012362189381768</v>
      </c>
      <c r="G407" s="51">
        <f t="shared" si="229"/>
        <v>1.3012362189381768</v>
      </c>
      <c r="H407" s="51">
        <f t="shared" si="229"/>
        <v>1.3173795636588936</v>
      </c>
      <c r="I407" s="51">
        <f t="shared" si="229"/>
        <v>1.3173795636588936</v>
      </c>
      <c r="J407" s="51">
        <f t="shared" si="229"/>
        <v>1.3173795636588936</v>
      </c>
      <c r="K407" s="51">
        <f t="shared" si="229"/>
        <v>1.3173795636588936</v>
      </c>
      <c r="L407" s="51">
        <f t="shared" si="229"/>
        <v>2.1190910807807568</v>
      </c>
      <c r="M407" s="51">
        <f t="shared" si="229"/>
        <v>2.1190910807807568</v>
      </c>
      <c r="N407" s="41"/>
      <c r="O407" s="43"/>
      <c r="P407" s="20" t="s">
        <v>500</v>
      </c>
    </row>
    <row r="408" spans="1:16" ht="15" hidden="1" customHeight="1" outlineLevel="1" x14ac:dyDescent="0.25">
      <c r="A408" s="55"/>
      <c r="C408" s="1" t="s">
        <v>208</v>
      </c>
      <c r="D408" s="41"/>
      <c r="E408" s="66">
        <f t="shared" ref="E408:M408" si="230">E49</f>
        <v>0.2</v>
      </c>
      <c r="F408" s="66">
        <f t="shared" si="230"/>
        <v>0.4</v>
      </c>
      <c r="G408" s="66">
        <f t="shared" si="230"/>
        <v>0.4</v>
      </c>
      <c r="H408" s="66">
        <f t="shared" si="230"/>
        <v>0.4</v>
      </c>
      <c r="I408" s="66">
        <f t="shared" si="230"/>
        <v>0.4</v>
      </c>
      <c r="J408" s="66">
        <f t="shared" si="230"/>
        <v>0.4</v>
      </c>
      <c r="K408" s="66">
        <f t="shared" si="230"/>
        <v>0.4</v>
      </c>
      <c r="L408" s="66">
        <f t="shared" si="230"/>
        <v>0.4</v>
      </c>
      <c r="M408" s="66">
        <f t="shared" si="230"/>
        <v>0.4</v>
      </c>
      <c r="N408" s="41"/>
      <c r="O408" s="43"/>
      <c r="P408" s="20" t="s">
        <v>500</v>
      </c>
    </row>
    <row r="409" spans="1:16" ht="15" hidden="1" customHeight="1" outlineLevel="1" x14ac:dyDescent="0.25">
      <c r="A409" s="55"/>
      <c r="C409" s="1" t="s">
        <v>51</v>
      </c>
      <c r="D409" s="41"/>
      <c r="E409" s="11">
        <v>0.3</v>
      </c>
      <c r="F409" s="11">
        <v>0.3</v>
      </c>
      <c r="G409" s="11">
        <v>0.3</v>
      </c>
      <c r="H409" s="11">
        <v>0.3</v>
      </c>
      <c r="I409" s="11">
        <v>0.3</v>
      </c>
      <c r="J409" s="11">
        <v>0.3</v>
      </c>
      <c r="K409" s="11">
        <v>0.3</v>
      </c>
      <c r="L409" s="11">
        <v>0.3</v>
      </c>
      <c r="M409" s="11">
        <v>0.3</v>
      </c>
      <c r="N409" s="41"/>
      <c r="O409" s="43"/>
      <c r="P409" s="20" t="s">
        <v>500</v>
      </c>
    </row>
    <row r="410" spans="1:16" ht="15" hidden="1" customHeight="1" outlineLevel="1" x14ac:dyDescent="0.25">
      <c r="A410" s="55"/>
      <c r="B410" s="43" t="s">
        <v>58</v>
      </c>
      <c r="C410" s="1"/>
      <c r="D410" s="41"/>
      <c r="E410" s="40">
        <f t="shared" ref="E410:M410" si="231">E436/PI()*SQRT(E411/E412)</f>
        <v>0.87629115905788224</v>
      </c>
      <c r="F410" s="40">
        <f t="shared" si="231"/>
        <v>0.87629115905788224</v>
      </c>
      <c r="G410" s="40">
        <f t="shared" si="231"/>
        <v>0.87629115905788224</v>
      </c>
      <c r="H410" s="40">
        <f t="shared" si="231"/>
        <v>0.86616555837798515</v>
      </c>
      <c r="I410" s="40">
        <f t="shared" si="231"/>
        <v>0.86616555837798515</v>
      </c>
      <c r="J410" s="40">
        <f t="shared" si="231"/>
        <v>0.86616555837798515</v>
      </c>
      <c r="K410" s="40">
        <f t="shared" si="231"/>
        <v>0.86616555837798515</v>
      </c>
      <c r="L410" s="40">
        <f t="shared" si="231"/>
        <v>0.58671265017246466</v>
      </c>
      <c r="M410" s="40">
        <f t="shared" si="231"/>
        <v>0.58671265017246466</v>
      </c>
      <c r="N410" s="41"/>
      <c r="O410" s="43"/>
      <c r="P410" s="20" t="s">
        <v>508</v>
      </c>
    </row>
    <row r="411" spans="1:16" ht="15" hidden="1" customHeight="1" outlineLevel="1" x14ac:dyDescent="0.25">
      <c r="A411" s="55"/>
      <c r="C411" s="1" t="s">
        <v>182</v>
      </c>
      <c r="D411" s="41"/>
      <c r="E411" s="57">
        <f t="shared" ref="E411:J411" si="232">MIN(E413:E417)</f>
        <v>234.22608257088726</v>
      </c>
      <c r="F411" s="57">
        <f t="shared" si="232"/>
        <v>234.22608257088726</v>
      </c>
      <c r="G411" s="57">
        <f t="shared" si="232"/>
        <v>234.22608257088726</v>
      </c>
      <c r="H411" s="57">
        <f t="shared" si="232"/>
        <v>228.84436143771444</v>
      </c>
      <c r="I411" s="57">
        <f t="shared" si="232"/>
        <v>228.84436143771444</v>
      </c>
      <c r="J411" s="57">
        <f t="shared" si="232"/>
        <v>228.84436143771444</v>
      </c>
      <c r="K411" s="57">
        <f>MIN(K413:K417)</f>
        <v>228.84436143771444</v>
      </c>
      <c r="L411" s="57">
        <f>MIN(L413:L417)</f>
        <v>105</v>
      </c>
      <c r="M411" s="57">
        <f>MIN(M413:M417)</f>
        <v>105</v>
      </c>
      <c r="N411" s="41"/>
      <c r="O411" s="43" t="s">
        <v>8</v>
      </c>
      <c r="P411" s="20" t="s">
        <v>523</v>
      </c>
    </row>
    <row r="412" spans="1:16" ht="15" hidden="1" customHeight="1" outlineLevel="1" x14ac:dyDescent="0.25">
      <c r="A412" s="55"/>
      <c r="C412" s="1" t="s">
        <v>30</v>
      </c>
      <c r="D412" s="41"/>
      <c r="E412" s="57">
        <f t="shared" ref="E412:M412" si="233">E25</f>
        <v>70000</v>
      </c>
      <c r="F412" s="57">
        <f t="shared" si="233"/>
        <v>70000</v>
      </c>
      <c r="G412" s="57">
        <f t="shared" si="233"/>
        <v>70000</v>
      </c>
      <c r="H412" s="57">
        <f t="shared" si="233"/>
        <v>70000</v>
      </c>
      <c r="I412" s="57">
        <f t="shared" si="233"/>
        <v>70000</v>
      </c>
      <c r="J412" s="57">
        <f t="shared" si="233"/>
        <v>70000</v>
      </c>
      <c r="K412" s="57">
        <f t="shared" si="233"/>
        <v>70000</v>
      </c>
      <c r="L412" s="57">
        <f t="shared" si="233"/>
        <v>70000</v>
      </c>
      <c r="M412" s="57">
        <f t="shared" si="233"/>
        <v>70000</v>
      </c>
      <c r="N412" s="41"/>
      <c r="O412" s="43" t="s">
        <v>8</v>
      </c>
      <c r="P412" s="20" t="s">
        <v>497</v>
      </c>
    </row>
    <row r="413" spans="1:16" ht="15" hidden="1" customHeight="1" outlineLevel="1" x14ac:dyDescent="0.25">
      <c r="A413" s="55"/>
      <c r="C413" s="1" t="s">
        <v>174</v>
      </c>
      <c r="D413" s="41"/>
      <c r="E413" s="62">
        <f t="shared" ref="E413:M413" si="234">E22</f>
        <v>240</v>
      </c>
      <c r="F413" s="62">
        <f t="shared" si="234"/>
        <v>240</v>
      </c>
      <c r="G413" s="62">
        <f t="shared" si="234"/>
        <v>240</v>
      </c>
      <c r="H413" s="62">
        <f t="shared" si="234"/>
        <v>240</v>
      </c>
      <c r="I413" s="62">
        <f t="shared" si="234"/>
        <v>240</v>
      </c>
      <c r="J413" s="62">
        <f t="shared" si="234"/>
        <v>240</v>
      </c>
      <c r="K413" s="62">
        <f t="shared" si="234"/>
        <v>240</v>
      </c>
      <c r="L413" s="62">
        <f t="shared" si="234"/>
        <v>240</v>
      </c>
      <c r="M413" s="62">
        <f t="shared" si="234"/>
        <v>240</v>
      </c>
      <c r="N413" s="41"/>
      <c r="O413" s="43" t="s">
        <v>8</v>
      </c>
      <c r="P413" s="20" t="s">
        <v>524</v>
      </c>
    </row>
    <row r="414" spans="1:16" ht="15" hidden="1" customHeight="1" outlineLevel="1" x14ac:dyDescent="0.25">
      <c r="A414" s="55"/>
      <c r="C414" s="1" t="s">
        <v>175</v>
      </c>
      <c r="D414" s="41"/>
      <c r="E414" s="62">
        <f t="shared" ref="E414:J414" si="235">E449</f>
        <v>234.22608257088726</v>
      </c>
      <c r="F414" s="62">
        <f t="shared" si="235"/>
        <v>234.22608257088726</v>
      </c>
      <c r="G414" s="62">
        <f t="shared" si="235"/>
        <v>234.22608257088726</v>
      </c>
      <c r="H414" s="62">
        <f t="shared" si="235"/>
        <v>228.84436143771444</v>
      </c>
      <c r="I414" s="62">
        <f t="shared" si="235"/>
        <v>228.84436143771444</v>
      </c>
      <c r="J414" s="62">
        <f t="shared" si="235"/>
        <v>228.84436143771444</v>
      </c>
      <c r="K414" s="62">
        <f>K449</f>
        <v>228.84436143771444</v>
      </c>
      <c r="L414" s="62">
        <f>L449</f>
        <v>228.84436143771444</v>
      </c>
      <c r="M414" s="62">
        <f>M449</f>
        <v>228.84436143771444</v>
      </c>
      <c r="N414" s="41"/>
      <c r="O414" s="43" t="s">
        <v>8</v>
      </c>
      <c r="P414" s="20" t="s">
        <v>525</v>
      </c>
    </row>
    <row r="415" spans="1:16" ht="15" hidden="1" customHeight="1" outlineLevel="1" x14ac:dyDescent="0.25">
      <c r="A415" s="55"/>
      <c r="C415" s="1" t="s">
        <v>176</v>
      </c>
      <c r="D415" s="41"/>
      <c r="E415" s="62">
        <f t="shared" ref="E415:M415" si="236">E465</f>
        <v>240</v>
      </c>
      <c r="F415" s="62">
        <f t="shared" si="236"/>
        <v>240</v>
      </c>
      <c r="G415" s="62">
        <f t="shared" si="236"/>
        <v>240</v>
      </c>
      <c r="H415" s="62">
        <f t="shared" si="236"/>
        <v>240</v>
      </c>
      <c r="I415" s="62">
        <f t="shared" si="236"/>
        <v>240</v>
      </c>
      <c r="J415" s="62">
        <f t="shared" si="236"/>
        <v>240</v>
      </c>
      <c r="K415" s="62">
        <f t="shared" si="236"/>
        <v>240</v>
      </c>
      <c r="L415" s="62">
        <f t="shared" si="236"/>
        <v>240</v>
      </c>
      <c r="M415" s="62">
        <f t="shared" si="236"/>
        <v>240</v>
      </c>
      <c r="N415" s="41"/>
      <c r="O415" s="43" t="s">
        <v>8</v>
      </c>
      <c r="P415" s="20" t="s">
        <v>526</v>
      </c>
    </row>
    <row r="416" spans="1:16" ht="15" hidden="1" customHeight="1" outlineLevel="1" x14ac:dyDescent="0.25">
      <c r="A416" s="55"/>
      <c r="C416" s="1" t="s">
        <v>177</v>
      </c>
      <c r="D416" s="41"/>
      <c r="E416" s="67" t="s">
        <v>1</v>
      </c>
      <c r="F416" s="67" t="s">
        <v>1</v>
      </c>
      <c r="G416" s="67" t="s">
        <v>1</v>
      </c>
      <c r="H416" s="67" t="s">
        <v>1</v>
      </c>
      <c r="I416" s="67" t="s">
        <v>1</v>
      </c>
      <c r="J416" s="67" t="s">
        <v>1</v>
      </c>
      <c r="K416" s="67" t="s">
        <v>1</v>
      </c>
      <c r="L416" s="67" t="s">
        <v>1</v>
      </c>
      <c r="M416" s="67" t="s">
        <v>1</v>
      </c>
      <c r="N416" s="41"/>
      <c r="O416" s="43" t="s">
        <v>8</v>
      </c>
      <c r="P416" s="20" t="s">
        <v>527</v>
      </c>
    </row>
    <row r="417" spans="1:16" ht="15" hidden="1" customHeight="1" outlineLevel="1" x14ac:dyDescent="0.25">
      <c r="A417" s="55"/>
      <c r="C417" s="1" t="s">
        <v>178</v>
      </c>
      <c r="D417" s="41"/>
      <c r="E417" s="67" t="s">
        <v>1</v>
      </c>
      <c r="F417" s="67" t="s">
        <v>1</v>
      </c>
      <c r="G417" s="67" t="s">
        <v>1</v>
      </c>
      <c r="H417" s="67" t="s">
        <v>1</v>
      </c>
      <c r="I417" s="67" t="s">
        <v>1</v>
      </c>
      <c r="J417" s="67" t="s">
        <v>1</v>
      </c>
      <c r="K417" s="67" t="s">
        <v>1</v>
      </c>
      <c r="L417" s="67">
        <f>L24</f>
        <v>105</v>
      </c>
      <c r="M417" s="67">
        <f>M24</f>
        <v>105</v>
      </c>
      <c r="N417" s="41"/>
      <c r="O417" s="43" t="s">
        <v>8</v>
      </c>
      <c r="P417" s="20" t="s">
        <v>528</v>
      </c>
    </row>
    <row r="418" spans="1:16" ht="15" hidden="1" customHeight="1" outlineLevel="1" x14ac:dyDescent="0.25">
      <c r="A418" s="55"/>
      <c r="B418" s="43"/>
      <c r="C418" s="1"/>
      <c r="D418" s="41"/>
      <c r="E418" s="58"/>
      <c r="F418" s="58"/>
      <c r="G418" s="58"/>
      <c r="H418" s="58"/>
      <c r="I418" s="58"/>
      <c r="J418" s="58"/>
      <c r="K418" s="58"/>
      <c r="L418" s="58"/>
      <c r="M418" s="58"/>
      <c r="N418" s="41"/>
      <c r="O418" s="43"/>
      <c r="P418" s="1"/>
    </row>
    <row r="419" spans="1:16" ht="15" hidden="1" customHeight="1" outlineLevel="1" x14ac:dyDescent="0.25">
      <c r="A419" s="53" t="s">
        <v>181</v>
      </c>
      <c r="C419" s="1"/>
      <c r="D419" s="59"/>
      <c r="E419" s="60"/>
      <c r="F419" s="60"/>
      <c r="G419" s="60"/>
      <c r="H419" s="60"/>
      <c r="I419" s="60"/>
      <c r="J419" s="60"/>
      <c r="K419" s="60"/>
      <c r="L419" s="60"/>
      <c r="M419" s="60"/>
      <c r="N419" s="59"/>
      <c r="O419" s="38"/>
      <c r="P419" s="20" t="s">
        <v>500</v>
      </c>
    </row>
    <row r="420" spans="1:16" ht="15" hidden="1" customHeight="1" outlineLevel="1" x14ac:dyDescent="0.25">
      <c r="A420" s="55"/>
      <c r="B420" s="1" t="s">
        <v>55</v>
      </c>
      <c r="C420" s="1"/>
      <c r="D420" s="41"/>
      <c r="E420" s="40">
        <f t="shared" ref="E420:M420" si="237">IF(E50="oui",MIN(1,0.9+0.1*ABS(1-E425)),1)</f>
        <v>1</v>
      </c>
      <c r="F420" s="40">
        <f t="shared" si="237"/>
        <v>0.91278353312654126</v>
      </c>
      <c r="G420" s="40">
        <f t="shared" si="237"/>
        <v>0.91429544778312588</v>
      </c>
      <c r="H420" s="40">
        <f t="shared" si="237"/>
        <v>0.91751538198934302</v>
      </c>
      <c r="I420" s="40">
        <f t="shared" si="237"/>
        <v>0.92229503777284383</v>
      </c>
      <c r="J420" s="40">
        <f t="shared" si="237"/>
        <v>0.92229503777284383</v>
      </c>
      <c r="K420" s="40">
        <f t="shared" si="237"/>
        <v>0.92947610726849783</v>
      </c>
      <c r="L420" s="40">
        <f t="shared" si="237"/>
        <v>0.9413287349827536</v>
      </c>
      <c r="M420" s="40">
        <f t="shared" si="237"/>
        <v>1</v>
      </c>
      <c r="N420" s="41"/>
      <c r="O420" s="43"/>
      <c r="P420" s="20" t="s">
        <v>501</v>
      </c>
    </row>
    <row r="421" spans="1:16" ht="15" hidden="1" customHeight="1" outlineLevel="1" x14ac:dyDescent="0.25">
      <c r="A421" s="55"/>
      <c r="B421" s="43" t="s">
        <v>56</v>
      </c>
      <c r="C421" s="1"/>
      <c r="D421" s="41"/>
      <c r="E421" s="51">
        <f t="shared" ref="E421:M421" si="238">MIN(1,E422-SQRT(E422^2-1/E425^2))</f>
        <v>0.77036543381213995</v>
      </c>
      <c r="F421" s="51">
        <f t="shared" si="238"/>
        <v>0.67879611161324493</v>
      </c>
      <c r="G421" s="51">
        <f t="shared" si="238"/>
        <v>0.68908944782712211</v>
      </c>
      <c r="H421" s="51">
        <f t="shared" si="238"/>
        <v>0.71092604424164418</v>
      </c>
      <c r="I421" s="51">
        <f t="shared" si="238"/>
        <v>0.74291472313854756</v>
      </c>
      <c r="J421" s="51">
        <f t="shared" si="238"/>
        <v>0.74291472313854756</v>
      </c>
      <c r="K421" s="51">
        <f t="shared" si="238"/>
        <v>0.78935025068013864</v>
      </c>
      <c r="L421" s="51">
        <f t="shared" si="238"/>
        <v>0.85991388258654955</v>
      </c>
      <c r="M421" s="51">
        <f t="shared" si="238"/>
        <v>0.85991388258654955</v>
      </c>
      <c r="N421" s="41"/>
      <c r="O421" s="43"/>
      <c r="P421" s="20" t="s">
        <v>500</v>
      </c>
    </row>
    <row r="422" spans="1:16" ht="15" hidden="1" customHeight="1" outlineLevel="1" x14ac:dyDescent="0.25">
      <c r="A422" s="55"/>
      <c r="B422" s="43" t="s">
        <v>57</v>
      </c>
      <c r="C422" s="1"/>
      <c r="D422" s="41"/>
      <c r="E422" s="51">
        <f t="shared" ref="E422:M422" si="239">(1+E423*(E425-E424)+E425^2)/(2*E425^2)</f>
        <v>1.2100809426707535</v>
      </c>
      <c r="F422" s="51">
        <f t="shared" si="239"/>
        <v>1.3077510048533632</v>
      </c>
      <c r="G422" s="51">
        <f t="shared" si="239"/>
        <v>1.3323847617603122</v>
      </c>
      <c r="H422" s="51">
        <f t="shared" si="239"/>
        <v>1.3891752288957888</v>
      </c>
      <c r="I422" s="51">
        <f t="shared" si="239"/>
        <v>1.4860945578341873</v>
      </c>
      <c r="J422" s="51">
        <f t="shared" si="239"/>
        <v>1.4860945578341873</v>
      </c>
      <c r="K422" s="51">
        <f t="shared" si="239"/>
        <v>1.6682594371585677</v>
      </c>
      <c r="L422" s="51">
        <f t="shared" si="239"/>
        <v>2.1190910807807568</v>
      </c>
      <c r="M422" s="51">
        <f t="shared" si="239"/>
        <v>2.1190910807807568</v>
      </c>
      <c r="N422" s="41"/>
      <c r="O422" s="43"/>
      <c r="P422" s="20" t="s">
        <v>500</v>
      </c>
    </row>
    <row r="423" spans="1:16" ht="15" hidden="1" customHeight="1" outlineLevel="1" x14ac:dyDescent="0.25">
      <c r="A423" s="55"/>
      <c r="C423" s="1" t="s">
        <v>208</v>
      </c>
      <c r="D423" s="41"/>
      <c r="E423" s="66">
        <f t="shared" ref="E423:M423" si="240">E49</f>
        <v>0.2</v>
      </c>
      <c r="F423" s="66">
        <f t="shared" si="240"/>
        <v>0.4</v>
      </c>
      <c r="G423" s="66">
        <f t="shared" si="240"/>
        <v>0.4</v>
      </c>
      <c r="H423" s="66">
        <f t="shared" si="240"/>
        <v>0.4</v>
      </c>
      <c r="I423" s="66">
        <f t="shared" si="240"/>
        <v>0.4</v>
      </c>
      <c r="J423" s="66">
        <f t="shared" si="240"/>
        <v>0.4</v>
      </c>
      <c r="K423" s="66">
        <f t="shared" si="240"/>
        <v>0.4</v>
      </c>
      <c r="L423" s="66">
        <f t="shared" si="240"/>
        <v>0.4</v>
      </c>
      <c r="M423" s="66">
        <f t="shared" si="240"/>
        <v>0.4</v>
      </c>
      <c r="N423" s="41"/>
      <c r="O423" s="43"/>
      <c r="P423" s="20" t="s">
        <v>500</v>
      </c>
    </row>
    <row r="424" spans="1:16" ht="15" hidden="1" customHeight="1" outlineLevel="1" x14ac:dyDescent="0.25">
      <c r="A424" s="55"/>
      <c r="C424" s="1" t="s">
        <v>51</v>
      </c>
      <c r="D424" s="41"/>
      <c r="E424" s="11">
        <v>0.3</v>
      </c>
      <c r="F424" s="11">
        <v>0.3</v>
      </c>
      <c r="G424" s="11">
        <v>0.3</v>
      </c>
      <c r="H424" s="11">
        <v>0.3</v>
      </c>
      <c r="I424" s="11">
        <v>0.3</v>
      </c>
      <c r="J424" s="11">
        <v>0.3</v>
      </c>
      <c r="K424" s="11">
        <v>0.3</v>
      </c>
      <c r="L424" s="11">
        <v>0.3</v>
      </c>
      <c r="M424" s="11">
        <v>0.3</v>
      </c>
      <c r="N424" s="41"/>
      <c r="O424" s="43"/>
      <c r="P424" s="20" t="s">
        <v>500</v>
      </c>
    </row>
    <row r="425" spans="1:16" ht="15" hidden="1" customHeight="1" outlineLevel="1" x14ac:dyDescent="0.25">
      <c r="A425" s="55"/>
      <c r="B425" s="43" t="s">
        <v>58</v>
      </c>
      <c r="C425" s="1"/>
      <c r="D425" s="41"/>
      <c r="E425" s="51">
        <f t="shared" ref="E425:M425" si="241">E436/PI()*SQRT(E426/E427)</f>
        <v>0.88702615052113065</v>
      </c>
      <c r="F425" s="51">
        <f t="shared" si="241"/>
        <v>0.87216466873458764</v>
      </c>
      <c r="G425" s="51">
        <f t="shared" si="241"/>
        <v>0.85704552216874141</v>
      </c>
      <c r="H425" s="51">
        <f t="shared" si="241"/>
        <v>0.82484618010657051</v>
      </c>
      <c r="I425" s="51">
        <f t="shared" si="241"/>
        <v>0.77704962227156238</v>
      </c>
      <c r="J425" s="51">
        <f t="shared" si="241"/>
        <v>0.77704962227156238</v>
      </c>
      <c r="K425" s="51">
        <f t="shared" si="241"/>
        <v>0.70523892731502225</v>
      </c>
      <c r="L425" s="51">
        <f t="shared" si="241"/>
        <v>0.58671265017246466</v>
      </c>
      <c r="M425" s="51">
        <f t="shared" si="241"/>
        <v>0.58671265017246466</v>
      </c>
      <c r="N425" s="41"/>
      <c r="O425" s="43"/>
      <c r="P425" s="20" t="s">
        <v>508</v>
      </c>
    </row>
    <row r="426" spans="1:16" ht="15" hidden="1" customHeight="1" outlineLevel="1" x14ac:dyDescent="0.25">
      <c r="A426" s="55"/>
      <c r="C426" s="1" t="s">
        <v>187</v>
      </c>
      <c r="D426" s="41"/>
      <c r="E426" s="57">
        <f t="shared" ref="E426:J426" si="242">MIN(E428)</f>
        <v>240</v>
      </c>
      <c r="F426" s="57">
        <f t="shared" si="242"/>
        <v>232.02531645569621</v>
      </c>
      <c r="G426" s="57">
        <f t="shared" si="242"/>
        <v>224.0506329113924</v>
      </c>
      <c r="H426" s="57">
        <f t="shared" si="242"/>
        <v>207.53164556962025</v>
      </c>
      <c r="I426" s="57">
        <f t="shared" si="242"/>
        <v>184.17721518987341</v>
      </c>
      <c r="J426" s="57">
        <f t="shared" si="242"/>
        <v>184.17721518987341</v>
      </c>
      <c r="K426" s="57">
        <f>MIN(K428)</f>
        <v>151.70886075949369</v>
      </c>
      <c r="L426" s="57">
        <f>MIN(L428)</f>
        <v>105</v>
      </c>
      <c r="M426" s="57">
        <f>MIN(M428)</f>
        <v>105</v>
      </c>
      <c r="N426" s="41"/>
      <c r="O426" s="43" t="s">
        <v>8</v>
      </c>
      <c r="P426" s="20" t="s">
        <v>523</v>
      </c>
    </row>
    <row r="427" spans="1:16" ht="15" hidden="1" customHeight="1" outlineLevel="1" x14ac:dyDescent="0.25">
      <c r="A427" s="55"/>
      <c r="C427" s="1" t="s">
        <v>30</v>
      </c>
      <c r="D427" s="41"/>
      <c r="E427" s="57">
        <f t="shared" ref="E427:M427" si="243">E25</f>
        <v>70000</v>
      </c>
      <c r="F427" s="57">
        <f t="shared" si="243"/>
        <v>70000</v>
      </c>
      <c r="G427" s="57">
        <f t="shared" si="243"/>
        <v>70000</v>
      </c>
      <c r="H427" s="57">
        <f t="shared" si="243"/>
        <v>70000</v>
      </c>
      <c r="I427" s="57">
        <f t="shared" si="243"/>
        <v>70000</v>
      </c>
      <c r="J427" s="57">
        <f t="shared" si="243"/>
        <v>70000</v>
      </c>
      <c r="K427" s="57">
        <f t="shared" si="243"/>
        <v>70000</v>
      </c>
      <c r="L427" s="57">
        <f t="shared" si="243"/>
        <v>70000</v>
      </c>
      <c r="M427" s="57">
        <f t="shared" si="243"/>
        <v>70000</v>
      </c>
      <c r="N427" s="41"/>
      <c r="O427" s="43" t="s">
        <v>8</v>
      </c>
      <c r="P427" s="20" t="s">
        <v>497</v>
      </c>
    </row>
    <row r="428" spans="1:16" ht="15" hidden="1" customHeight="1" outlineLevel="1" x14ac:dyDescent="0.25">
      <c r="A428" s="55"/>
      <c r="C428" s="1" t="s">
        <v>179</v>
      </c>
      <c r="D428" s="41"/>
      <c r="E428" s="67">
        <f t="shared" ref="E428:M428" si="244">E429</f>
        <v>240</v>
      </c>
      <c r="F428" s="67">
        <f t="shared" si="244"/>
        <v>232.02531645569621</v>
      </c>
      <c r="G428" s="67">
        <f t="shared" si="244"/>
        <v>224.0506329113924</v>
      </c>
      <c r="H428" s="67">
        <f t="shared" si="244"/>
        <v>207.53164556962025</v>
      </c>
      <c r="I428" s="67">
        <f t="shared" si="244"/>
        <v>184.17721518987341</v>
      </c>
      <c r="J428" s="67">
        <f t="shared" si="244"/>
        <v>184.17721518987341</v>
      </c>
      <c r="K428" s="67">
        <f t="shared" si="244"/>
        <v>151.70886075949369</v>
      </c>
      <c r="L428" s="67">
        <f t="shared" si="244"/>
        <v>105</v>
      </c>
      <c r="M428" s="67">
        <f t="shared" si="244"/>
        <v>105</v>
      </c>
      <c r="N428" s="41"/>
      <c r="O428" s="43" t="s">
        <v>8</v>
      </c>
      <c r="P428" s="20" t="s">
        <v>529</v>
      </c>
    </row>
    <row r="429" spans="1:16" ht="15" hidden="1" customHeight="1" outlineLevel="1" x14ac:dyDescent="0.25">
      <c r="A429" s="38"/>
      <c r="B429" s="43" t="s">
        <v>53</v>
      </c>
      <c r="C429" s="21"/>
      <c r="D429" s="41"/>
      <c r="E429" s="7">
        <f t="shared" ref="E429:M429" si="245">E430-(E430-E431)*(E432/E433)</f>
        <v>240</v>
      </c>
      <c r="F429" s="7">
        <f t="shared" si="245"/>
        <v>232.02531645569621</v>
      </c>
      <c r="G429" s="7">
        <f t="shared" si="245"/>
        <v>224.0506329113924</v>
      </c>
      <c r="H429" s="7">
        <f t="shared" si="245"/>
        <v>207.53164556962025</v>
      </c>
      <c r="I429" s="7">
        <f t="shared" si="245"/>
        <v>184.17721518987341</v>
      </c>
      <c r="J429" s="7">
        <f t="shared" si="245"/>
        <v>184.17721518987341</v>
      </c>
      <c r="K429" s="7">
        <f t="shared" si="245"/>
        <v>151.70886075949369</v>
      </c>
      <c r="L429" s="7">
        <f t="shared" si="245"/>
        <v>105</v>
      </c>
      <c r="M429" s="7">
        <f t="shared" si="245"/>
        <v>105</v>
      </c>
      <c r="N429" s="41"/>
      <c r="O429" s="20" t="s">
        <v>8</v>
      </c>
      <c r="P429" s="20" t="s">
        <v>530</v>
      </c>
    </row>
    <row r="430" spans="1:16" ht="15" hidden="1" customHeight="1" outlineLevel="1" x14ac:dyDescent="0.25">
      <c r="A430" s="38"/>
      <c r="C430" s="1" t="s">
        <v>36</v>
      </c>
      <c r="D430" s="41"/>
      <c r="E430" s="61">
        <f t="shared" ref="E430:M430" si="246">E22</f>
        <v>240</v>
      </c>
      <c r="F430" s="61">
        <f t="shared" si="246"/>
        <v>240</v>
      </c>
      <c r="G430" s="61">
        <f t="shared" si="246"/>
        <v>240</v>
      </c>
      <c r="H430" s="61">
        <f t="shared" si="246"/>
        <v>240</v>
      </c>
      <c r="I430" s="61">
        <f t="shared" si="246"/>
        <v>240</v>
      </c>
      <c r="J430" s="61">
        <f t="shared" si="246"/>
        <v>240</v>
      </c>
      <c r="K430" s="61">
        <f t="shared" si="246"/>
        <v>240</v>
      </c>
      <c r="L430" s="61">
        <f t="shared" si="246"/>
        <v>240</v>
      </c>
      <c r="M430" s="61">
        <f t="shared" si="246"/>
        <v>240</v>
      </c>
      <c r="N430" s="41"/>
      <c r="O430" s="43" t="s">
        <v>8</v>
      </c>
      <c r="P430" s="20" t="s">
        <v>496</v>
      </c>
    </row>
    <row r="431" spans="1:16" ht="15" hidden="1" customHeight="1" outlineLevel="1" x14ac:dyDescent="0.25">
      <c r="A431" s="38"/>
      <c r="C431" s="1" t="s">
        <v>39</v>
      </c>
      <c r="D431" s="41"/>
      <c r="E431" s="61">
        <f t="shared" ref="E431:M431" si="247">E24</f>
        <v>105</v>
      </c>
      <c r="F431" s="61">
        <f t="shared" si="247"/>
        <v>105</v>
      </c>
      <c r="G431" s="61">
        <f t="shared" si="247"/>
        <v>105</v>
      </c>
      <c r="H431" s="61">
        <f t="shared" si="247"/>
        <v>105</v>
      </c>
      <c r="I431" s="61">
        <f t="shared" si="247"/>
        <v>105</v>
      </c>
      <c r="J431" s="61">
        <f t="shared" si="247"/>
        <v>105</v>
      </c>
      <c r="K431" s="61">
        <f t="shared" si="247"/>
        <v>105</v>
      </c>
      <c r="L431" s="61">
        <f t="shared" si="247"/>
        <v>105</v>
      </c>
      <c r="M431" s="61">
        <f t="shared" si="247"/>
        <v>105</v>
      </c>
      <c r="N431" s="41"/>
      <c r="O431" s="43" t="s">
        <v>8</v>
      </c>
      <c r="P431" s="20" t="s">
        <v>496</v>
      </c>
    </row>
    <row r="432" spans="1:16" ht="15" hidden="1" customHeight="1" outlineLevel="1" x14ac:dyDescent="0.25">
      <c r="A432" s="38"/>
      <c r="C432" s="1" t="s">
        <v>41</v>
      </c>
      <c r="D432" s="41"/>
      <c r="E432" s="62">
        <v>0</v>
      </c>
      <c r="F432" s="62">
        <f>2*F44*F34</f>
        <v>1120</v>
      </c>
      <c r="G432" s="62">
        <f>2*2*G44*G34</f>
        <v>2240</v>
      </c>
      <c r="H432" s="62">
        <f>2*H44*H34+(2*H42+H34)*H30+(2*H43+H34)*H32</f>
        <v>4560</v>
      </c>
      <c r="I432" s="62">
        <f>2*I44*I34+I31*I30+(2*I43+I34)*I32</f>
        <v>7840</v>
      </c>
      <c r="J432" s="62">
        <f>2*J44*J34+(2*J42+J34)*J30+J33*J32</f>
        <v>7840</v>
      </c>
      <c r="K432" s="62">
        <f>2*K44*K34+(2*K42+K34)*K30+(2*K43+K34)*K32</f>
        <v>12400</v>
      </c>
      <c r="L432" s="62">
        <f>2*L44*L34+(2*L42+L34)*L30+(2*L43+L34)*L32</f>
        <v>18960</v>
      </c>
      <c r="M432" s="62">
        <f>2*M44*M34+(2*M42+M34)*M30+(2*M43+M34)*M32</f>
        <v>18960</v>
      </c>
      <c r="N432" s="41"/>
      <c r="O432" s="43" t="s">
        <v>233</v>
      </c>
      <c r="P432" s="20" t="s">
        <v>498</v>
      </c>
    </row>
    <row r="433" spans="1:16" ht="15" hidden="1" customHeight="1" outlineLevel="1" x14ac:dyDescent="0.25">
      <c r="A433" s="38"/>
      <c r="C433" s="1" t="s">
        <v>35</v>
      </c>
      <c r="D433" s="41"/>
      <c r="E433" s="61">
        <f t="shared" ref="E433:M433" si="248">E72</f>
        <v>18960</v>
      </c>
      <c r="F433" s="61">
        <f t="shared" si="248"/>
        <v>18960</v>
      </c>
      <c r="G433" s="61">
        <f t="shared" si="248"/>
        <v>18960</v>
      </c>
      <c r="H433" s="61">
        <f t="shared" si="248"/>
        <v>18960</v>
      </c>
      <c r="I433" s="61">
        <f t="shared" si="248"/>
        <v>18960</v>
      </c>
      <c r="J433" s="61">
        <f t="shared" si="248"/>
        <v>18960</v>
      </c>
      <c r="K433" s="61">
        <f t="shared" si="248"/>
        <v>18960</v>
      </c>
      <c r="L433" s="61">
        <f t="shared" si="248"/>
        <v>18960</v>
      </c>
      <c r="M433" s="61">
        <f t="shared" si="248"/>
        <v>18960</v>
      </c>
      <c r="N433" s="41"/>
      <c r="O433" s="43" t="s">
        <v>233</v>
      </c>
      <c r="P433" s="20" t="s">
        <v>498</v>
      </c>
    </row>
    <row r="434" spans="1:16" ht="15" hidden="1" customHeight="1" outlineLevel="1" x14ac:dyDescent="0.25"/>
    <row r="435" spans="1:16" ht="15" hidden="1" customHeight="1" outlineLevel="1" x14ac:dyDescent="0.25">
      <c r="A435" s="53" t="s">
        <v>164</v>
      </c>
      <c r="C435" s="1"/>
      <c r="D435" s="59"/>
      <c r="E435" s="60"/>
      <c r="F435" s="60"/>
      <c r="G435" s="60"/>
      <c r="H435" s="60"/>
      <c r="I435" s="60"/>
      <c r="J435" s="60"/>
      <c r="K435" s="60"/>
      <c r="L435" s="60"/>
      <c r="M435" s="60"/>
      <c r="N435" s="59"/>
      <c r="O435" s="38"/>
      <c r="P435" s="20" t="s">
        <v>494</v>
      </c>
    </row>
    <row r="436" spans="1:16" ht="15" hidden="1" customHeight="1" outlineLevel="1" x14ac:dyDescent="0.25">
      <c r="A436" s="55"/>
      <c r="B436" s="43" t="s">
        <v>166</v>
      </c>
      <c r="C436" s="1"/>
      <c r="D436" s="41"/>
      <c r="E436" s="57">
        <f t="shared" ref="E436:M436" si="249">SQRT(E437/E438)*SQRT(E439*E440)/(E441*(0.04*E442+E443/E440^2))^(1/4)</f>
        <v>47.591533109868948</v>
      </c>
      <c r="F436" s="57">
        <f t="shared" si="249"/>
        <v>47.591533109868948</v>
      </c>
      <c r="G436" s="57">
        <f t="shared" si="249"/>
        <v>47.591533109868948</v>
      </c>
      <c r="H436" s="57">
        <f t="shared" si="249"/>
        <v>47.591533109868948</v>
      </c>
      <c r="I436" s="57">
        <f t="shared" si="249"/>
        <v>47.591533109868948</v>
      </c>
      <c r="J436" s="57">
        <f t="shared" si="249"/>
        <v>47.591533109868948</v>
      </c>
      <c r="K436" s="57">
        <f t="shared" si="249"/>
        <v>47.591533109868948</v>
      </c>
      <c r="L436" s="57">
        <f t="shared" si="249"/>
        <v>47.591533109868948</v>
      </c>
      <c r="M436" s="57">
        <f t="shared" si="249"/>
        <v>47.591533109868948</v>
      </c>
      <c r="N436" s="41"/>
      <c r="O436" s="43"/>
      <c r="P436" s="20" t="s">
        <v>531</v>
      </c>
    </row>
    <row r="437" spans="1:16" ht="15" hidden="1" customHeight="1" outlineLevel="1" x14ac:dyDescent="0.25">
      <c r="A437" s="55"/>
      <c r="C437" s="1" t="s">
        <v>42</v>
      </c>
      <c r="D437" s="41"/>
      <c r="E437" s="11">
        <f t="shared" ref="E437:M437" si="250">E38</f>
        <v>1.4</v>
      </c>
      <c r="F437" s="11">
        <f t="shared" si="250"/>
        <v>1.4</v>
      </c>
      <c r="G437" s="11">
        <f t="shared" si="250"/>
        <v>1.4</v>
      </c>
      <c r="H437" s="11">
        <f t="shared" si="250"/>
        <v>1.4</v>
      </c>
      <c r="I437" s="11">
        <f t="shared" si="250"/>
        <v>1.4</v>
      </c>
      <c r="J437" s="11">
        <f t="shared" si="250"/>
        <v>1.4</v>
      </c>
      <c r="K437" s="11">
        <f t="shared" si="250"/>
        <v>1.4</v>
      </c>
      <c r="L437" s="11">
        <f t="shared" si="250"/>
        <v>1.4</v>
      </c>
      <c r="M437" s="11">
        <f t="shared" si="250"/>
        <v>1.4</v>
      </c>
      <c r="N437" s="41"/>
      <c r="O437" s="43"/>
      <c r="P437" s="20" t="s">
        <v>494</v>
      </c>
    </row>
    <row r="438" spans="1:16" ht="15" hidden="1" customHeight="1" outlineLevel="1" x14ac:dyDescent="0.25">
      <c r="A438" s="55"/>
      <c r="C438" s="1" t="s">
        <v>169</v>
      </c>
      <c r="D438" s="41"/>
      <c r="E438" s="11">
        <f t="shared" ref="E438:M438" si="251">E39</f>
        <v>1</v>
      </c>
      <c r="F438" s="11">
        <f t="shared" si="251"/>
        <v>1</v>
      </c>
      <c r="G438" s="11">
        <f t="shared" si="251"/>
        <v>1</v>
      </c>
      <c r="H438" s="11">
        <f t="shared" si="251"/>
        <v>1</v>
      </c>
      <c r="I438" s="11">
        <f t="shared" si="251"/>
        <v>1</v>
      </c>
      <c r="J438" s="11">
        <f t="shared" si="251"/>
        <v>1</v>
      </c>
      <c r="K438" s="11">
        <f t="shared" si="251"/>
        <v>1</v>
      </c>
      <c r="L438" s="11">
        <f t="shared" si="251"/>
        <v>1</v>
      </c>
      <c r="M438" s="11">
        <f t="shared" si="251"/>
        <v>1</v>
      </c>
      <c r="N438" s="41"/>
      <c r="O438" s="43"/>
      <c r="P438" s="20" t="s">
        <v>494</v>
      </c>
    </row>
    <row r="439" spans="1:16" ht="15" hidden="1" customHeight="1" outlineLevel="1" x14ac:dyDescent="0.25">
      <c r="A439" s="55"/>
      <c r="C439" s="1" t="s">
        <v>167</v>
      </c>
      <c r="D439" s="41"/>
      <c r="E439" s="48">
        <f t="shared" ref="E439:M439" si="252">MIN(E78:E79)</f>
        <v>3584960</v>
      </c>
      <c r="F439" s="48">
        <f t="shared" si="252"/>
        <v>3584960</v>
      </c>
      <c r="G439" s="48">
        <f t="shared" si="252"/>
        <v>3584960</v>
      </c>
      <c r="H439" s="48">
        <f t="shared" si="252"/>
        <v>3584960</v>
      </c>
      <c r="I439" s="48">
        <f t="shared" si="252"/>
        <v>3584960</v>
      </c>
      <c r="J439" s="48">
        <f t="shared" si="252"/>
        <v>3584960</v>
      </c>
      <c r="K439" s="48">
        <f t="shared" si="252"/>
        <v>3584960</v>
      </c>
      <c r="L439" s="48">
        <f t="shared" si="252"/>
        <v>3584960</v>
      </c>
      <c r="M439" s="48">
        <f t="shared" si="252"/>
        <v>3584960</v>
      </c>
      <c r="N439" s="41"/>
      <c r="O439" s="43" t="s">
        <v>234</v>
      </c>
      <c r="P439" s="1"/>
    </row>
    <row r="440" spans="1:16" ht="15" hidden="1" customHeight="1" outlineLevel="1" x14ac:dyDescent="0.25">
      <c r="A440" s="55"/>
      <c r="C440" s="1" t="s">
        <v>4</v>
      </c>
      <c r="D440" s="41"/>
      <c r="E440" s="61">
        <f t="shared" ref="E440:M440" si="253">E36</f>
        <v>2700</v>
      </c>
      <c r="F440" s="61">
        <f t="shared" si="253"/>
        <v>2700</v>
      </c>
      <c r="G440" s="61">
        <f t="shared" si="253"/>
        <v>2700</v>
      </c>
      <c r="H440" s="61">
        <f t="shared" si="253"/>
        <v>2700</v>
      </c>
      <c r="I440" s="61">
        <f t="shared" si="253"/>
        <v>2700</v>
      </c>
      <c r="J440" s="61">
        <f t="shared" si="253"/>
        <v>2700</v>
      </c>
      <c r="K440" s="61">
        <f t="shared" si="253"/>
        <v>2700</v>
      </c>
      <c r="L440" s="61">
        <f t="shared" si="253"/>
        <v>2700</v>
      </c>
      <c r="M440" s="61">
        <f t="shared" si="253"/>
        <v>2700</v>
      </c>
      <c r="N440" s="41"/>
      <c r="O440" s="43" t="s">
        <v>0</v>
      </c>
      <c r="P440" s="20" t="s">
        <v>498</v>
      </c>
    </row>
    <row r="441" spans="1:16" ht="15" hidden="1" customHeight="1" outlineLevel="1" x14ac:dyDescent="0.25">
      <c r="A441" s="55"/>
      <c r="C441" s="1" t="s">
        <v>33</v>
      </c>
      <c r="D441" s="41"/>
      <c r="E441" s="48">
        <f t="shared" ref="E441:M441" si="254">E80</f>
        <v>52274480</v>
      </c>
      <c r="F441" s="48">
        <f t="shared" si="254"/>
        <v>52274480</v>
      </c>
      <c r="G441" s="48">
        <f t="shared" si="254"/>
        <v>52274480</v>
      </c>
      <c r="H441" s="48">
        <f t="shared" si="254"/>
        <v>52274480</v>
      </c>
      <c r="I441" s="48">
        <f t="shared" si="254"/>
        <v>52274480</v>
      </c>
      <c r="J441" s="48">
        <f t="shared" si="254"/>
        <v>52274480</v>
      </c>
      <c r="K441" s="48">
        <f t="shared" si="254"/>
        <v>52274480</v>
      </c>
      <c r="L441" s="48">
        <f t="shared" si="254"/>
        <v>52274480</v>
      </c>
      <c r="M441" s="48">
        <f t="shared" si="254"/>
        <v>52274480</v>
      </c>
      <c r="N441" s="41"/>
      <c r="O441" s="20" t="s">
        <v>373</v>
      </c>
      <c r="P441" s="1"/>
    </row>
    <row r="442" spans="1:16" ht="15" hidden="1" customHeight="1" outlineLevel="1" x14ac:dyDescent="0.25">
      <c r="A442" s="55"/>
      <c r="C442" s="1" t="s">
        <v>151</v>
      </c>
      <c r="D442" s="41"/>
      <c r="E442" s="48">
        <f t="shared" ref="E442:M442" si="255">E84</f>
        <v>2097920</v>
      </c>
      <c r="F442" s="48">
        <f t="shared" si="255"/>
        <v>2097920</v>
      </c>
      <c r="G442" s="48">
        <f t="shared" si="255"/>
        <v>2097920</v>
      </c>
      <c r="H442" s="48">
        <f t="shared" si="255"/>
        <v>2097920</v>
      </c>
      <c r="I442" s="48">
        <f t="shared" si="255"/>
        <v>2097920</v>
      </c>
      <c r="J442" s="48">
        <f t="shared" si="255"/>
        <v>2097920</v>
      </c>
      <c r="K442" s="48">
        <f t="shared" si="255"/>
        <v>2097920</v>
      </c>
      <c r="L442" s="48">
        <f t="shared" si="255"/>
        <v>2097920</v>
      </c>
      <c r="M442" s="48">
        <f t="shared" si="255"/>
        <v>2097920</v>
      </c>
      <c r="N442" s="41"/>
      <c r="O442" s="20" t="s">
        <v>373</v>
      </c>
      <c r="P442" s="20" t="s">
        <v>158</v>
      </c>
    </row>
    <row r="443" spans="1:16" ht="15" hidden="1" customHeight="1" outlineLevel="1" x14ac:dyDescent="0.25">
      <c r="A443" s="55"/>
      <c r="C443" s="1" t="s">
        <v>156</v>
      </c>
      <c r="D443" s="41"/>
      <c r="E443" s="48">
        <f t="shared" ref="E443:M443" si="256">E89</f>
        <v>4380208333333.333</v>
      </c>
      <c r="F443" s="48">
        <f t="shared" si="256"/>
        <v>4380208333333.333</v>
      </c>
      <c r="G443" s="48">
        <f t="shared" si="256"/>
        <v>4380208333333.333</v>
      </c>
      <c r="H443" s="48">
        <f t="shared" si="256"/>
        <v>4380208333333.333</v>
      </c>
      <c r="I443" s="48">
        <f t="shared" si="256"/>
        <v>4380208333333.333</v>
      </c>
      <c r="J443" s="48">
        <f t="shared" si="256"/>
        <v>4380208333333.333</v>
      </c>
      <c r="K443" s="48">
        <f t="shared" si="256"/>
        <v>4380208333333.333</v>
      </c>
      <c r="L443" s="48">
        <f t="shared" si="256"/>
        <v>4380208333333.333</v>
      </c>
      <c r="M443" s="48">
        <f t="shared" si="256"/>
        <v>4380208333333.333</v>
      </c>
      <c r="N443" s="41"/>
      <c r="O443" s="20" t="s">
        <v>374</v>
      </c>
      <c r="P443" s="20" t="s">
        <v>160</v>
      </c>
    </row>
    <row r="444" spans="1:16" ht="15" customHeight="1" collapsed="1" x14ac:dyDescent="0.25">
      <c r="A444" s="38"/>
      <c r="B444" s="43"/>
      <c r="C444" s="1"/>
      <c r="D444" s="41"/>
      <c r="E444" s="58"/>
      <c r="F444" s="58"/>
      <c r="G444" s="58"/>
      <c r="H444" s="58"/>
      <c r="I444" s="58"/>
      <c r="J444" s="58"/>
      <c r="K444" s="58"/>
      <c r="L444" s="58"/>
      <c r="M444" s="58"/>
      <c r="N444" s="41"/>
      <c r="O444" s="43"/>
      <c r="P444" s="1"/>
    </row>
    <row r="445" spans="1:16" ht="15" customHeight="1" x14ac:dyDescent="0.25">
      <c r="A445" s="38"/>
      <c r="B445" s="43"/>
      <c r="C445" s="1"/>
      <c r="D445" s="41"/>
      <c r="E445" s="58"/>
      <c r="F445" s="58"/>
      <c r="G445" s="58"/>
      <c r="H445" s="58"/>
      <c r="I445" s="58"/>
      <c r="J445" s="58"/>
      <c r="K445" s="58"/>
      <c r="L445" s="58"/>
      <c r="M445" s="58"/>
      <c r="N445" s="41"/>
      <c r="O445" s="43"/>
      <c r="P445" s="1"/>
    </row>
    <row r="446" spans="1:16" ht="15" customHeight="1" x14ac:dyDescent="0.3">
      <c r="A446" s="37" t="s">
        <v>464</v>
      </c>
      <c r="C446" s="21"/>
      <c r="P446" s="20" t="s">
        <v>493</v>
      </c>
    </row>
    <row r="447" spans="1:16" ht="15" hidden="1" customHeight="1" outlineLevel="1" x14ac:dyDescent="0.25">
      <c r="C447" s="21"/>
    </row>
    <row r="448" spans="1:16" ht="15" hidden="1" customHeight="1" outlineLevel="1" x14ac:dyDescent="0.25">
      <c r="A448" s="39" t="s">
        <v>439</v>
      </c>
      <c r="C448" s="21"/>
      <c r="P448" s="20" t="s">
        <v>507</v>
      </c>
    </row>
    <row r="449" spans="1:16" ht="15" hidden="1" customHeight="1" outlineLevel="1" x14ac:dyDescent="0.25">
      <c r="A449" s="38"/>
      <c r="B449" s="43" t="s">
        <v>122</v>
      </c>
      <c r="C449" s="21"/>
      <c r="D449" s="41"/>
      <c r="E449" s="62">
        <f t="shared" ref="E449:M449" si="257">E450*E455</f>
        <v>234.22608257088726</v>
      </c>
      <c r="F449" s="62">
        <f t="shared" si="257"/>
        <v>234.22608257088726</v>
      </c>
      <c r="G449" s="62">
        <f t="shared" si="257"/>
        <v>234.22608257088726</v>
      </c>
      <c r="H449" s="62">
        <f t="shared" si="257"/>
        <v>228.84436143771444</v>
      </c>
      <c r="I449" s="62">
        <f t="shared" si="257"/>
        <v>228.84436143771444</v>
      </c>
      <c r="J449" s="62">
        <f t="shared" si="257"/>
        <v>228.84436143771444</v>
      </c>
      <c r="K449" s="62">
        <f t="shared" si="257"/>
        <v>228.84436143771444</v>
      </c>
      <c r="L449" s="62">
        <f t="shared" si="257"/>
        <v>228.84436143771444</v>
      </c>
      <c r="M449" s="62">
        <f t="shared" si="257"/>
        <v>228.84436143771444</v>
      </c>
      <c r="N449" s="41"/>
      <c r="O449" s="1" t="s">
        <v>8</v>
      </c>
      <c r="P449" s="20" t="s">
        <v>525</v>
      </c>
    </row>
    <row r="450" spans="1:16" ht="15" hidden="1" customHeight="1" outlineLevel="1" x14ac:dyDescent="0.25">
      <c r="A450" s="38"/>
      <c r="B450" s="43" t="s">
        <v>56</v>
      </c>
      <c r="C450" s="1"/>
      <c r="D450" s="41"/>
      <c r="E450" s="51">
        <f t="shared" ref="E450:M450" si="258">MIN(1,E451-SQRT(E451^2-1/E454^2))</f>
        <v>0.97594201071203024</v>
      </c>
      <c r="F450" s="51">
        <f t="shared" si="258"/>
        <v>0.97594201071203024</v>
      </c>
      <c r="G450" s="51">
        <f t="shared" si="258"/>
        <v>0.97594201071203024</v>
      </c>
      <c r="H450" s="51">
        <f t="shared" si="258"/>
        <v>0.95351817265714356</v>
      </c>
      <c r="I450" s="51">
        <f t="shared" si="258"/>
        <v>0.95351817265714356</v>
      </c>
      <c r="J450" s="51">
        <f t="shared" si="258"/>
        <v>0.95351817265714356</v>
      </c>
      <c r="K450" s="51">
        <f t="shared" si="258"/>
        <v>0.95351817265714356</v>
      </c>
      <c r="L450" s="51">
        <f t="shared" si="258"/>
        <v>0.95351817265714356</v>
      </c>
      <c r="M450" s="51">
        <f t="shared" si="258"/>
        <v>0.95351817265714356</v>
      </c>
      <c r="N450" s="41"/>
      <c r="O450" s="43"/>
      <c r="P450" s="20" t="s">
        <v>500</v>
      </c>
    </row>
    <row r="451" spans="1:16" ht="15" hidden="1" customHeight="1" outlineLevel="1" x14ac:dyDescent="0.25">
      <c r="A451" s="38"/>
      <c r="B451" s="43" t="s">
        <v>57</v>
      </c>
      <c r="C451" s="1"/>
      <c r="D451" s="41"/>
      <c r="E451" s="51">
        <f t="shared" ref="E451:M451" si="259">(1+E452*(E454-E453)+E454^2)/(2*E454^2)</f>
        <v>1.99816413949593</v>
      </c>
      <c r="F451" s="51">
        <f t="shared" si="259"/>
        <v>1.99816413949593</v>
      </c>
      <c r="G451" s="51">
        <f t="shared" si="259"/>
        <v>1.99816413949593</v>
      </c>
      <c r="H451" s="51">
        <f t="shared" si="259"/>
        <v>2.022467355095849</v>
      </c>
      <c r="I451" s="51">
        <f t="shared" si="259"/>
        <v>2.022467355095849</v>
      </c>
      <c r="J451" s="51">
        <f t="shared" si="259"/>
        <v>2.022467355095849</v>
      </c>
      <c r="K451" s="51">
        <f t="shared" si="259"/>
        <v>2.022467355095849</v>
      </c>
      <c r="L451" s="51">
        <f t="shared" si="259"/>
        <v>2.022467355095849</v>
      </c>
      <c r="M451" s="51">
        <f t="shared" si="259"/>
        <v>2.022467355095849</v>
      </c>
      <c r="N451" s="41"/>
      <c r="O451" s="43"/>
      <c r="P451" s="20" t="s">
        <v>500</v>
      </c>
    </row>
    <row r="452" spans="1:16" ht="15" hidden="1" customHeight="1" outlineLevel="1" x14ac:dyDescent="0.25">
      <c r="A452" s="38"/>
      <c r="C452" s="1" t="s">
        <v>202</v>
      </c>
      <c r="D452" s="41"/>
      <c r="E452" s="66">
        <f t="shared" ref="E452:M452" si="260">E46</f>
        <v>0.2</v>
      </c>
      <c r="F452" s="66">
        <f t="shared" si="260"/>
        <v>0.2</v>
      </c>
      <c r="G452" s="66">
        <f t="shared" si="260"/>
        <v>0.2</v>
      </c>
      <c r="H452" s="66">
        <f t="shared" si="260"/>
        <v>0.4</v>
      </c>
      <c r="I452" s="66">
        <f t="shared" si="260"/>
        <v>0.4</v>
      </c>
      <c r="J452" s="66">
        <f t="shared" si="260"/>
        <v>0.4</v>
      </c>
      <c r="K452" s="66">
        <f t="shared" si="260"/>
        <v>0.4</v>
      </c>
      <c r="L452" s="66">
        <f t="shared" si="260"/>
        <v>0.4</v>
      </c>
      <c r="M452" s="66">
        <f t="shared" si="260"/>
        <v>0.4</v>
      </c>
      <c r="N452" s="41"/>
      <c r="O452" s="43"/>
      <c r="P452" s="20" t="s">
        <v>500</v>
      </c>
    </row>
    <row r="453" spans="1:16" ht="15" hidden="1" customHeight="1" outlineLevel="1" x14ac:dyDescent="0.25">
      <c r="A453" s="38"/>
      <c r="C453" s="1" t="s">
        <v>51</v>
      </c>
      <c r="D453" s="41"/>
      <c r="E453" s="11">
        <v>0.5</v>
      </c>
      <c r="F453" s="11">
        <v>0.5</v>
      </c>
      <c r="G453" s="11">
        <v>0.5</v>
      </c>
      <c r="H453" s="11">
        <v>0.5</v>
      </c>
      <c r="I453" s="11">
        <v>0.5</v>
      </c>
      <c r="J453" s="11">
        <v>0.5</v>
      </c>
      <c r="K453" s="11">
        <v>0.5</v>
      </c>
      <c r="L453" s="11">
        <v>0.5</v>
      </c>
      <c r="M453" s="11">
        <v>0.5</v>
      </c>
      <c r="N453" s="41"/>
      <c r="O453" s="43"/>
      <c r="P453" s="20" t="s">
        <v>500</v>
      </c>
    </row>
    <row r="454" spans="1:16" ht="15" hidden="1" customHeight="1" outlineLevel="1" x14ac:dyDescent="0.25">
      <c r="A454" s="38"/>
      <c r="B454" s="43" t="s">
        <v>121</v>
      </c>
      <c r="C454" s="1"/>
      <c r="D454" s="41"/>
      <c r="E454" s="51">
        <f t="shared" ref="E454:M454" si="261">E457/PI()*SQRT(E455/E456)</f>
        <v>0.5824474521506261</v>
      </c>
      <c r="F454" s="51">
        <f t="shared" si="261"/>
        <v>0.5824474521506261</v>
      </c>
      <c r="G454" s="51">
        <f t="shared" si="261"/>
        <v>0.5824474521506261</v>
      </c>
      <c r="H454" s="51">
        <f t="shared" si="261"/>
        <v>0.5824474521506261</v>
      </c>
      <c r="I454" s="51">
        <f t="shared" si="261"/>
        <v>0.5824474521506261</v>
      </c>
      <c r="J454" s="51">
        <f t="shared" si="261"/>
        <v>0.5824474521506261</v>
      </c>
      <c r="K454" s="51">
        <f t="shared" si="261"/>
        <v>0.5824474521506261</v>
      </c>
      <c r="L454" s="51">
        <f t="shared" si="261"/>
        <v>0.5824474521506261</v>
      </c>
      <c r="M454" s="51">
        <f t="shared" si="261"/>
        <v>0.5824474521506261</v>
      </c>
      <c r="N454" s="41"/>
      <c r="O454" s="43"/>
      <c r="P454" s="20" t="s">
        <v>508</v>
      </c>
    </row>
    <row r="455" spans="1:16" ht="15" hidden="1" customHeight="1" outlineLevel="1" x14ac:dyDescent="0.25">
      <c r="A455" s="38"/>
      <c r="C455" s="1" t="s">
        <v>119</v>
      </c>
      <c r="D455" s="41"/>
      <c r="E455" s="61">
        <f t="shared" ref="E455:M455" si="262">E22</f>
        <v>240</v>
      </c>
      <c r="F455" s="61">
        <f t="shared" si="262"/>
        <v>240</v>
      </c>
      <c r="G455" s="61">
        <f t="shared" si="262"/>
        <v>240</v>
      </c>
      <c r="H455" s="61">
        <f t="shared" si="262"/>
        <v>240</v>
      </c>
      <c r="I455" s="61">
        <f t="shared" si="262"/>
        <v>240</v>
      </c>
      <c r="J455" s="61">
        <f t="shared" si="262"/>
        <v>240</v>
      </c>
      <c r="K455" s="61">
        <f t="shared" si="262"/>
        <v>240</v>
      </c>
      <c r="L455" s="61">
        <f t="shared" si="262"/>
        <v>240</v>
      </c>
      <c r="M455" s="61">
        <f t="shared" si="262"/>
        <v>240</v>
      </c>
      <c r="N455" s="41"/>
      <c r="O455" s="43" t="s">
        <v>8</v>
      </c>
      <c r="P455" s="20" t="s">
        <v>509</v>
      </c>
    </row>
    <row r="456" spans="1:16" ht="15" hidden="1" customHeight="1" outlineLevel="1" x14ac:dyDescent="0.25">
      <c r="A456" s="38"/>
      <c r="C456" s="1" t="s">
        <v>30</v>
      </c>
      <c r="D456" s="41"/>
      <c r="E456" s="57">
        <f t="shared" ref="E456:M456" si="263">E25</f>
        <v>70000</v>
      </c>
      <c r="F456" s="57">
        <f t="shared" si="263"/>
        <v>70000</v>
      </c>
      <c r="G456" s="57">
        <f t="shared" si="263"/>
        <v>70000</v>
      </c>
      <c r="H456" s="57">
        <f t="shared" si="263"/>
        <v>70000</v>
      </c>
      <c r="I456" s="57">
        <f t="shared" si="263"/>
        <v>70000</v>
      </c>
      <c r="J456" s="57">
        <f t="shared" si="263"/>
        <v>70000</v>
      </c>
      <c r="K456" s="57">
        <f t="shared" si="263"/>
        <v>70000</v>
      </c>
      <c r="L456" s="57">
        <f t="shared" si="263"/>
        <v>70000</v>
      </c>
      <c r="M456" s="57">
        <f t="shared" si="263"/>
        <v>70000</v>
      </c>
      <c r="N456" s="41"/>
      <c r="O456" s="43" t="s">
        <v>8</v>
      </c>
      <c r="P456" s="20" t="s">
        <v>497</v>
      </c>
    </row>
    <row r="457" spans="1:16" ht="15" hidden="1" customHeight="1" outlineLevel="1" x14ac:dyDescent="0.25">
      <c r="A457" s="38"/>
      <c r="B457" s="43" t="s">
        <v>120</v>
      </c>
      <c r="C457" s="1"/>
      <c r="D457" s="41"/>
      <c r="E457" s="57">
        <f t="shared" ref="E457:M457" si="264">E458*E459/E460</f>
        <v>31.25</v>
      </c>
      <c r="F457" s="57">
        <f t="shared" si="264"/>
        <v>31.25</v>
      </c>
      <c r="G457" s="57">
        <f t="shared" si="264"/>
        <v>31.25</v>
      </c>
      <c r="H457" s="57">
        <f t="shared" si="264"/>
        <v>31.25</v>
      </c>
      <c r="I457" s="57">
        <f t="shared" si="264"/>
        <v>31.25</v>
      </c>
      <c r="J457" s="57">
        <f t="shared" si="264"/>
        <v>31.25</v>
      </c>
      <c r="K457" s="57">
        <f t="shared" si="264"/>
        <v>31.25</v>
      </c>
      <c r="L457" s="57">
        <f t="shared" si="264"/>
        <v>31.25</v>
      </c>
      <c r="M457" s="57">
        <f t="shared" si="264"/>
        <v>31.25</v>
      </c>
      <c r="N457" s="41"/>
      <c r="O457" s="43"/>
      <c r="P457" s="20" t="s">
        <v>509</v>
      </c>
    </row>
    <row r="458" spans="1:16" ht="15" hidden="1" customHeight="1" outlineLevel="1" x14ac:dyDescent="0.25">
      <c r="A458" s="38"/>
      <c r="B458" s="43" t="s">
        <v>52</v>
      </c>
      <c r="C458" s="21"/>
      <c r="D458" s="41"/>
      <c r="E458" s="8">
        <f t="shared" ref="E458:M458" si="265">MIN(5,3+0.6*E461*E460/E459/E462)</f>
        <v>5</v>
      </c>
      <c r="F458" s="8">
        <f t="shared" si="265"/>
        <v>5</v>
      </c>
      <c r="G458" s="8">
        <f t="shared" si="265"/>
        <v>5</v>
      </c>
      <c r="H458" s="8">
        <f t="shared" si="265"/>
        <v>5</v>
      </c>
      <c r="I458" s="8">
        <f t="shared" si="265"/>
        <v>5</v>
      </c>
      <c r="J458" s="8">
        <f t="shared" si="265"/>
        <v>5</v>
      </c>
      <c r="K458" s="8">
        <f t="shared" si="265"/>
        <v>5</v>
      </c>
      <c r="L458" s="8">
        <f t="shared" si="265"/>
        <v>5</v>
      </c>
      <c r="M458" s="8">
        <f t="shared" si="265"/>
        <v>5</v>
      </c>
      <c r="N458" s="41"/>
      <c r="O458" s="43"/>
      <c r="P458" s="20" t="s">
        <v>532</v>
      </c>
    </row>
    <row r="459" spans="1:16" ht="15" hidden="1" customHeight="1" outlineLevel="1" x14ac:dyDescent="0.25">
      <c r="A459" s="38"/>
      <c r="C459" s="1" t="s">
        <v>116</v>
      </c>
      <c r="D459" s="41"/>
      <c r="E459" s="61">
        <f t="shared" ref="E459:M459" si="266">E31/2</f>
        <v>125</v>
      </c>
      <c r="F459" s="61">
        <f t="shared" si="266"/>
        <v>125</v>
      </c>
      <c r="G459" s="61">
        <f t="shared" si="266"/>
        <v>125</v>
      </c>
      <c r="H459" s="61">
        <f t="shared" si="266"/>
        <v>125</v>
      </c>
      <c r="I459" s="61">
        <f t="shared" si="266"/>
        <v>125</v>
      </c>
      <c r="J459" s="61">
        <f t="shared" si="266"/>
        <v>125</v>
      </c>
      <c r="K459" s="61">
        <f t="shared" si="266"/>
        <v>125</v>
      </c>
      <c r="L459" s="61">
        <f t="shared" si="266"/>
        <v>125</v>
      </c>
      <c r="M459" s="61">
        <f t="shared" si="266"/>
        <v>125</v>
      </c>
      <c r="N459" s="41"/>
      <c r="O459" s="43" t="s">
        <v>0</v>
      </c>
      <c r="P459" s="20" t="s">
        <v>509</v>
      </c>
    </row>
    <row r="460" spans="1:16" ht="15" hidden="1" customHeight="1" outlineLevel="1" x14ac:dyDescent="0.25">
      <c r="A460" s="38"/>
      <c r="C460" s="1" t="s">
        <v>117</v>
      </c>
      <c r="D460" s="41"/>
      <c r="E460" s="11">
        <f t="shared" ref="E460:M460" si="267">E30</f>
        <v>20</v>
      </c>
      <c r="F460" s="11">
        <f t="shared" si="267"/>
        <v>20</v>
      </c>
      <c r="G460" s="11">
        <f t="shared" si="267"/>
        <v>20</v>
      </c>
      <c r="H460" s="11">
        <f t="shared" si="267"/>
        <v>20</v>
      </c>
      <c r="I460" s="11">
        <f t="shared" si="267"/>
        <v>20</v>
      </c>
      <c r="J460" s="11">
        <f t="shared" si="267"/>
        <v>20</v>
      </c>
      <c r="K460" s="11">
        <f t="shared" si="267"/>
        <v>20</v>
      </c>
      <c r="L460" s="11">
        <f t="shared" si="267"/>
        <v>20</v>
      </c>
      <c r="M460" s="11">
        <f t="shared" si="267"/>
        <v>20</v>
      </c>
      <c r="N460" s="41"/>
      <c r="O460" s="43" t="s">
        <v>0</v>
      </c>
      <c r="P460" s="20" t="s">
        <v>498</v>
      </c>
    </row>
    <row r="461" spans="1:16" ht="15" hidden="1" customHeight="1" outlineLevel="1" x14ac:dyDescent="0.25">
      <c r="A461" s="38"/>
      <c r="C461" s="1" t="s">
        <v>118</v>
      </c>
      <c r="D461" s="41"/>
      <c r="E461" s="61">
        <f t="shared" ref="E461:M461" si="268">E29-E30/2-E32/2</f>
        <v>580</v>
      </c>
      <c r="F461" s="61">
        <f t="shared" si="268"/>
        <v>580</v>
      </c>
      <c r="G461" s="61">
        <f t="shared" si="268"/>
        <v>580</v>
      </c>
      <c r="H461" s="61">
        <f t="shared" si="268"/>
        <v>580</v>
      </c>
      <c r="I461" s="61">
        <f t="shared" si="268"/>
        <v>580</v>
      </c>
      <c r="J461" s="61">
        <f t="shared" si="268"/>
        <v>580</v>
      </c>
      <c r="K461" s="61">
        <f t="shared" si="268"/>
        <v>580</v>
      </c>
      <c r="L461" s="61">
        <f t="shared" si="268"/>
        <v>580</v>
      </c>
      <c r="M461" s="61">
        <f t="shared" si="268"/>
        <v>580</v>
      </c>
      <c r="N461" s="41"/>
      <c r="O461" s="43" t="s">
        <v>0</v>
      </c>
      <c r="P461" s="20" t="s">
        <v>533</v>
      </c>
    </row>
    <row r="462" spans="1:16" ht="15" hidden="1" customHeight="1" outlineLevel="1" x14ac:dyDescent="0.25">
      <c r="A462" s="38"/>
      <c r="C462" s="1" t="s">
        <v>124</v>
      </c>
      <c r="D462" s="41"/>
      <c r="E462" s="11">
        <f t="shared" ref="E462:M462" si="269">E34</f>
        <v>16</v>
      </c>
      <c r="F462" s="11">
        <f t="shared" si="269"/>
        <v>16</v>
      </c>
      <c r="G462" s="11">
        <f t="shared" si="269"/>
        <v>16</v>
      </c>
      <c r="H462" s="11">
        <f t="shared" si="269"/>
        <v>16</v>
      </c>
      <c r="I462" s="11">
        <f t="shared" si="269"/>
        <v>16</v>
      </c>
      <c r="J462" s="11">
        <f t="shared" si="269"/>
        <v>16</v>
      </c>
      <c r="K462" s="11">
        <f t="shared" si="269"/>
        <v>16</v>
      </c>
      <c r="L462" s="11">
        <f t="shared" si="269"/>
        <v>16</v>
      </c>
      <c r="M462" s="11">
        <f t="shared" si="269"/>
        <v>16</v>
      </c>
      <c r="N462" s="41"/>
      <c r="O462" s="43" t="s">
        <v>0</v>
      </c>
      <c r="P462" s="20" t="s">
        <v>533</v>
      </c>
    </row>
    <row r="463" spans="1:16" ht="15" hidden="1" customHeight="1" outlineLevel="1" x14ac:dyDescent="0.25">
      <c r="C463" s="21"/>
    </row>
    <row r="464" spans="1:16" ht="15" hidden="1" customHeight="1" outlineLevel="1" x14ac:dyDescent="0.25">
      <c r="A464" s="39" t="s">
        <v>438</v>
      </c>
      <c r="C464" s="21"/>
      <c r="P464" s="20" t="s">
        <v>507</v>
      </c>
    </row>
    <row r="465" spans="1:16" ht="15" hidden="1" customHeight="1" outlineLevel="1" x14ac:dyDescent="0.25">
      <c r="A465" s="38"/>
      <c r="B465" s="43" t="s">
        <v>227</v>
      </c>
      <c r="C465" s="21"/>
      <c r="D465" s="41"/>
      <c r="E465" s="62">
        <f t="shared" ref="E465:J465" si="270">SQRT(E467)*E472</f>
        <v>240</v>
      </c>
      <c r="F465" s="62">
        <f t="shared" si="270"/>
        <v>240</v>
      </c>
      <c r="G465" s="62">
        <f t="shared" si="270"/>
        <v>240</v>
      </c>
      <c r="H465" s="62">
        <f t="shared" si="270"/>
        <v>240</v>
      </c>
      <c r="I465" s="62">
        <f t="shared" si="270"/>
        <v>240</v>
      </c>
      <c r="J465" s="62">
        <f t="shared" si="270"/>
        <v>240</v>
      </c>
      <c r="K465" s="62">
        <f>SQRT(K467)*K472</f>
        <v>240</v>
      </c>
      <c r="L465" s="62">
        <f>SQRT(L467)*L472</f>
        <v>240</v>
      </c>
      <c r="M465" s="62">
        <f>SQRT(M467)*M472</f>
        <v>240</v>
      </c>
      <c r="N465" s="41"/>
      <c r="O465" s="1" t="s">
        <v>8</v>
      </c>
      <c r="P465" s="20" t="s">
        <v>526</v>
      </c>
    </row>
    <row r="466" spans="1:16" ht="15" hidden="1" customHeight="1" outlineLevel="1" x14ac:dyDescent="0.25">
      <c r="A466" s="38"/>
      <c r="B466" s="43" t="s">
        <v>122</v>
      </c>
      <c r="C466" s="21"/>
      <c r="D466" s="41"/>
      <c r="E466" s="61">
        <f t="shared" ref="E466:M466" si="271">E467*E472</f>
        <v>240</v>
      </c>
      <c r="F466" s="61">
        <f t="shared" si="271"/>
        <v>240</v>
      </c>
      <c r="G466" s="61">
        <f t="shared" si="271"/>
        <v>240</v>
      </c>
      <c r="H466" s="61">
        <f t="shared" si="271"/>
        <v>240</v>
      </c>
      <c r="I466" s="61">
        <f t="shared" si="271"/>
        <v>240</v>
      </c>
      <c r="J466" s="61">
        <f t="shared" si="271"/>
        <v>240</v>
      </c>
      <c r="K466" s="61">
        <f t="shared" si="271"/>
        <v>240</v>
      </c>
      <c r="L466" s="61">
        <f t="shared" si="271"/>
        <v>240</v>
      </c>
      <c r="M466" s="61">
        <f t="shared" si="271"/>
        <v>240</v>
      </c>
      <c r="N466" s="41"/>
      <c r="O466" s="1" t="s">
        <v>8</v>
      </c>
      <c r="P466" s="20" t="s">
        <v>525</v>
      </c>
    </row>
    <row r="467" spans="1:16" ht="15" hidden="1" customHeight="1" outlineLevel="1" x14ac:dyDescent="0.25">
      <c r="A467" s="38"/>
      <c r="B467" s="43" t="s">
        <v>56</v>
      </c>
      <c r="C467" s="1"/>
      <c r="D467" s="41"/>
      <c r="E467" s="40">
        <f t="shared" ref="E467:M467" si="272">MIN(1,E468-SQRT(E468^2-1/E471^2))</f>
        <v>1</v>
      </c>
      <c r="F467" s="40">
        <f t="shared" si="272"/>
        <v>1</v>
      </c>
      <c r="G467" s="40">
        <f t="shared" si="272"/>
        <v>1</v>
      </c>
      <c r="H467" s="40">
        <f t="shared" si="272"/>
        <v>1</v>
      </c>
      <c r="I467" s="40">
        <f t="shared" si="272"/>
        <v>1</v>
      </c>
      <c r="J467" s="40">
        <f t="shared" si="272"/>
        <v>1</v>
      </c>
      <c r="K467" s="40">
        <f t="shared" si="272"/>
        <v>1</v>
      </c>
      <c r="L467" s="40">
        <f t="shared" si="272"/>
        <v>1</v>
      </c>
      <c r="M467" s="40">
        <f t="shared" si="272"/>
        <v>1</v>
      </c>
      <c r="N467" s="41"/>
      <c r="O467" s="43"/>
      <c r="P467" s="20" t="s">
        <v>500</v>
      </c>
    </row>
    <row r="468" spans="1:16" ht="15" hidden="1" customHeight="1" outlineLevel="1" x14ac:dyDescent="0.25">
      <c r="A468" s="38"/>
      <c r="B468" s="43" t="s">
        <v>57</v>
      </c>
      <c r="C468" s="1"/>
      <c r="D468" s="41"/>
      <c r="E468" s="51">
        <f t="shared" ref="E468:M468" si="273">(1+E469*(E471-E470)+E471^2)/(2*E471^2)</f>
        <v>3.0609280472854024</v>
      </c>
      <c r="F468" s="51">
        <f t="shared" si="273"/>
        <v>3.0293856559270185</v>
      </c>
      <c r="G468" s="51">
        <f t="shared" si="273"/>
        <v>3.0293856559270185</v>
      </c>
      <c r="H468" s="51">
        <f t="shared" si="273"/>
        <v>3.0293856559270185</v>
      </c>
      <c r="I468" s="51">
        <f t="shared" si="273"/>
        <v>3.0293856559270185</v>
      </c>
      <c r="J468" s="51">
        <f t="shared" si="273"/>
        <v>3.0293856559270185</v>
      </c>
      <c r="K468" s="51">
        <f t="shared" si="273"/>
        <v>3.0293856559270185</v>
      </c>
      <c r="L468" s="51">
        <f t="shared" si="273"/>
        <v>3.0293856559270185</v>
      </c>
      <c r="M468" s="51">
        <f t="shared" si="273"/>
        <v>3.0293856559270185</v>
      </c>
      <c r="N468" s="41"/>
      <c r="O468" s="43"/>
      <c r="P468" s="20" t="s">
        <v>500</v>
      </c>
    </row>
    <row r="469" spans="1:16" ht="15" hidden="1" customHeight="1" outlineLevel="1" x14ac:dyDescent="0.25">
      <c r="A469" s="38"/>
      <c r="C469" s="1" t="s">
        <v>205</v>
      </c>
      <c r="D469" s="41"/>
      <c r="E469" s="66">
        <f t="shared" ref="E469:M469" si="274">E48</f>
        <v>0.2</v>
      </c>
      <c r="F469" s="66">
        <f t="shared" si="274"/>
        <v>0.4</v>
      </c>
      <c r="G469" s="66">
        <f t="shared" si="274"/>
        <v>0.4</v>
      </c>
      <c r="H469" s="66">
        <f t="shared" si="274"/>
        <v>0.4</v>
      </c>
      <c r="I469" s="66">
        <f t="shared" si="274"/>
        <v>0.4</v>
      </c>
      <c r="J469" s="66">
        <f t="shared" si="274"/>
        <v>0.4</v>
      </c>
      <c r="K469" s="66">
        <f t="shared" si="274"/>
        <v>0.4</v>
      </c>
      <c r="L469" s="66">
        <f t="shared" si="274"/>
        <v>0.4</v>
      </c>
      <c r="M469" s="66">
        <f t="shared" si="274"/>
        <v>0.4</v>
      </c>
      <c r="N469" s="41"/>
      <c r="O469" s="43"/>
      <c r="P469" s="20" t="s">
        <v>500</v>
      </c>
    </row>
    <row r="470" spans="1:16" ht="15" hidden="1" customHeight="1" outlineLevel="1" x14ac:dyDescent="0.25">
      <c r="A470" s="38"/>
      <c r="C470" s="1" t="s">
        <v>51</v>
      </c>
      <c r="D470" s="41"/>
      <c r="E470" s="11">
        <v>0.5</v>
      </c>
      <c r="F470" s="11">
        <v>0.5</v>
      </c>
      <c r="G470" s="11">
        <v>0.5</v>
      </c>
      <c r="H470" s="11">
        <v>0.5</v>
      </c>
      <c r="I470" s="11">
        <v>0.5</v>
      </c>
      <c r="J470" s="11">
        <v>0.5</v>
      </c>
      <c r="K470" s="11">
        <v>0.5</v>
      </c>
      <c r="L470" s="11">
        <v>0.5</v>
      </c>
      <c r="M470" s="11">
        <v>0.5</v>
      </c>
      <c r="N470" s="41"/>
      <c r="O470" s="43"/>
      <c r="P470" s="20" t="s">
        <v>500</v>
      </c>
    </row>
    <row r="471" spans="1:16" ht="15" hidden="1" customHeight="1" outlineLevel="1" x14ac:dyDescent="0.25">
      <c r="A471" s="38"/>
      <c r="B471" s="43" t="s">
        <v>121</v>
      </c>
      <c r="C471" s="1"/>
      <c r="D471" s="41"/>
      <c r="E471" s="51">
        <f t="shared" ref="E471:M471" si="275">E474/PI()*SQRT(E472/E473)</f>
        <v>0.43916537892157215</v>
      </c>
      <c r="F471" s="51">
        <f t="shared" si="275"/>
        <v>0.43916537892157215</v>
      </c>
      <c r="G471" s="51">
        <f t="shared" si="275"/>
        <v>0.43916537892157215</v>
      </c>
      <c r="H471" s="51">
        <f t="shared" si="275"/>
        <v>0.43916537892157215</v>
      </c>
      <c r="I471" s="51">
        <f t="shared" si="275"/>
        <v>0.43916537892157215</v>
      </c>
      <c r="J471" s="51">
        <f t="shared" si="275"/>
        <v>0.43916537892157215</v>
      </c>
      <c r="K471" s="51">
        <f t="shared" si="275"/>
        <v>0.43916537892157215</v>
      </c>
      <c r="L471" s="51">
        <f t="shared" si="275"/>
        <v>0.43916537892157215</v>
      </c>
      <c r="M471" s="51">
        <f t="shared" si="275"/>
        <v>0.43916537892157215</v>
      </c>
      <c r="N471" s="41"/>
      <c r="O471" s="43"/>
      <c r="P471" s="20" t="s">
        <v>508</v>
      </c>
    </row>
    <row r="472" spans="1:16" ht="15" hidden="1" customHeight="1" outlineLevel="1" x14ac:dyDescent="0.25">
      <c r="A472" s="38"/>
      <c r="C472" s="1" t="s">
        <v>119</v>
      </c>
      <c r="D472" s="41"/>
      <c r="E472" s="61">
        <f t="shared" ref="E472:M472" si="276">E22</f>
        <v>240</v>
      </c>
      <c r="F472" s="61">
        <f t="shared" si="276"/>
        <v>240</v>
      </c>
      <c r="G472" s="61">
        <f t="shared" si="276"/>
        <v>240</v>
      </c>
      <c r="H472" s="61">
        <f t="shared" si="276"/>
        <v>240</v>
      </c>
      <c r="I472" s="61">
        <f t="shared" si="276"/>
        <v>240</v>
      </c>
      <c r="J472" s="61">
        <f t="shared" si="276"/>
        <v>240</v>
      </c>
      <c r="K472" s="61">
        <f t="shared" si="276"/>
        <v>240</v>
      </c>
      <c r="L472" s="61">
        <f t="shared" si="276"/>
        <v>240</v>
      </c>
      <c r="M472" s="61">
        <f t="shared" si="276"/>
        <v>240</v>
      </c>
      <c r="N472" s="41"/>
      <c r="O472" s="43" t="s">
        <v>8</v>
      </c>
      <c r="P472" s="20" t="s">
        <v>509</v>
      </c>
    </row>
    <row r="473" spans="1:16" ht="15" hidden="1" customHeight="1" outlineLevel="1" x14ac:dyDescent="0.25">
      <c r="A473" s="38"/>
      <c r="C473" s="1" t="s">
        <v>30</v>
      </c>
      <c r="D473" s="41"/>
      <c r="E473" s="57">
        <f t="shared" ref="E473:M473" si="277">E25</f>
        <v>70000</v>
      </c>
      <c r="F473" s="57">
        <f t="shared" si="277"/>
        <v>70000</v>
      </c>
      <c r="G473" s="57">
        <f t="shared" si="277"/>
        <v>70000</v>
      </c>
      <c r="H473" s="57">
        <f t="shared" si="277"/>
        <v>70000</v>
      </c>
      <c r="I473" s="57">
        <f t="shared" si="277"/>
        <v>70000</v>
      </c>
      <c r="J473" s="57">
        <f t="shared" si="277"/>
        <v>70000</v>
      </c>
      <c r="K473" s="57">
        <f t="shared" si="277"/>
        <v>70000</v>
      </c>
      <c r="L473" s="57">
        <f t="shared" si="277"/>
        <v>70000</v>
      </c>
      <c r="M473" s="57">
        <f t="shared" si="277"/>
        <v>70000</v>
      </c>
      <c r="N473" s="41"/>
      <c r="O473" s="43" t="s">
        <v>8</v>
      </c>
      <c r="P473" s="20" t="s">
        <v>497</v>
      </c>
    </row>
    <row r="474" spans="1:16" ht="15" hidden="1" customHeight="1" outlineLevel="1" x14ac:dyDescent="0.25">
      <c r="A474" s="38"/>
      <c r="B474" s="43" t="s">
        <v>120</v>
      </c>
      <c r="C474" s="1"/>
      <c r="D474" s="41"/>
      <c r="E474" s="57">
        <f>E475*E478/E479</f>
        <v>23.5625</v>
      </c>
      <c r="F474" s="57">
        <f t="shared" ref="F474:M474" si="278">F475*F478/F479</f>
        <v>23.5625</v>
      </c>
      <c r="G474" s="57">
        <f t="shared" si="278"/>
        <v>23.5625</v>
      </c>
      <c r="H474" s="57">
        <f t="shared" si="278"/>
        <v>23.5625</v>
      </c>
      <c r="I474" s="57">
        <f t="shared" si="278"/>
        <v>23.5625</v>
      </c>
      <c r="J474" s="57">
        <f t="shared" si="278"/>
        <v>23.5625</v>
      </c>
      <c r="K474" s="57">
        <f t="shared" si="278"/>
        <v>23.5625</v>
      </c>
      <c r="L474" s="57">
        <f t="shared" si="278"/>
        <v>23.5625</v>
      </c>
      <c r="M474" s="57">
        <f t="shared" si="278"/>
        <v>23.5625</v>
      </c>
      <c r="N474" s="41"/>
      <c r="O474" s="43"/>
      <c r="P474" s="20" t="s">
        <v>509</v>
      </c>
    </row>
    <row r="475" spans="1:16" ht="15" hidden="1" customHeight="1" outlineLevel="1" x14ac:dyDescent="0.25">
      <c r="A475" s="38"/>
      <c r="B475" s="43" t="s">
        <v>127</v>
      </c>
      <c r="C475" s="21"/>
      <c r="D475" s="41"/>
      <c r="E475" s="8">
        <f t="shared" ref="E475:M475" si="279">IF(E480&lt;=1,IF(E480&gt;-1,E476,E477))</f>
        <v>0.65</v>
      </c>
      <c r="F475" s="8">
        <f t="shared" si="279"/>
        <v>0.65</v>
      </c>
      <c r="G475" s="8">
        <f t="shared" si="279"/>
        <v>0.65</v>
      </c>
      <c r="H475" s="8">
        <f t="shared" si="279"/>
        <v>0.65</v>
      </c>
      <c r="I475" s="8">
        <f t="shared" si="279"/>
        <v>0.65</v>
      </c>
      <c r="J475" s="8">
        <f t="shared" si="279"/>
        <v>0.65</v>
      </c>
      <c r="K475" s="8">
        <f t="shared" si="279"/>
        <v>0.65</v>
      </c>
      <c r="L475" s="8">
        <f t="shared" si="279"/>
        <v>0.65</v>
      </c>
      <c r="M475" s="8">
        <f t="shared" si="279"/>
        <v>0.65</v>
      </c>
      <c r="N475" s="41"/>
      <c r="O475" s="43"/>
      <c r="P475" s="20" t="s">
        <v>510</v>
      </c>
    </row>
    <row r="476" spans="1:16" ht="15" hidden="1" customHeight="1" outlineLevel="1" x14ac:dyDescent="0.25">
      <c r="A476" s="38"/>
      <c r="B476" s="43" t="s">
        <v>129</v>
      </c>
      <c r="C476" s="21"/>
      <c r="D476" s="41"/>
      <c r="E476" s="8">
        <f t="shared" ref="E476:J476" si="280">1.15+E480/2</f>
        <v>0.64999999999999991</v>
      </c>
      <c r="F476" s="8">
        <f t="shared" si="280"/>
        <v>0.64999999999999991</v>
      </c>
      <c r="G476" s="8">
        <f t="shared" si="280"/>
        <v>0.64999999999999991</v>
      </c>
      <c r="H476" s="8">
        <f t="shared" si="280"/>
        <v>0.64999999999999991</v>
      </c>
      <c r="I476" s="8">
        <f t="shared" si="280"/>
        <v>0.64999999999999991</v>
      </c>
      <c r="J476" s="8">
        <f t="shared" si="280"/>
        <v>0.64999999999999991</v>
      </c>
      <c r="K476" s="8">
        <f>1.15+K480/2</f>
        <v>0.64999999999999991</v>
      </c>
      <c r="L476" s="8">
        <f>1.15+L480/2</f>
        <v>0.64999999999999991</v>
      </c>
      <c r="M476" s="8">
        <f>1.15+M480/2</f>
        <v>0.64999999999999991</v>
      </c>
      <c r="N476" s="41"/>
      <c r="O476" s="43"/>
      <c r="P476" s="20" t="s">
        <v>510</v>
      </c>
    </row>
    <row r="477" spans="1:16" ht="15" hidden="1" customHeight="1" outlineLevel="1" x14ac:dyDescent="0.25">
      <c r="A477" s="38"/>
      <c r="B477" s="43" t="s">
        <v>128</v>
      </c>
      <c r="C477" s="21"/>
      <c r="D477" s="41"/>
      <c r="E477" s="8">
        <f t="shared" ref="E477:J477" si="281">1.3/(1-E480)</f>
        <v>0.65</v>
      </c>
      <c r="F477" s="8">
        <f t="shared" si="281"/>
        <v>0.65</v>
      </c>
      <c r="G477" s="8">
        <f t="shared" si="281"/>
        <v>0.65</v>
      </c>
      <c r="H477" s="8">
        <f t="shared" si="281"/>
        <v>0.65</v>
      </c>
      <c r="I477" s="8">
        <f t="shared" si="281"/>
        <v>0.65</v>
      </c>
      <c r="J477" s="8">
        <f t="shared" si="281"/>
        <v>0.65</v>
      </c>
      <c r="K477" s="8">
        <f>1.3/(1-K480)</f>
        <v>0.65</v>
      </c>
      <c r="L477" s="8">
        <f>1.3/(1-L480)</f>
        <v>0.65</v>
      </c>
      <c r="M477" s="8">
        <f>1.3/(1-M480)</f>
        <v>0.65</v>
      </c>
      <c r="N477" s="41"/>
      <c r="O477" s="43"/>
      <c r="P477" s="20" t="s">
        <v>510</v>
      </c>
    </row>
    <row r="478" spans="1:16" ht="15" hidden="1" customHeight="1" outlineLevel="1" x14ac:dyDescent="0.25">
      <c r="A478" s="38"/>
      <c r="C478" s="1" t="s">
        <v>125</v>
      </c>
      <c r="D478" s="41"/>
      <c r="E478" s="61">
        <f t="shared" ref="E478:M478" si="282">E29-E30/2-E32/2</f>
        <v>580</v>
      </c>
      <c r="F478" s="61">
        <f t="shared" si="282"/>
        <v>580</v>
      </c>
      <c r="G478" s="61">
        <f t="shared" si="282"/>
        <v>580</v>
      </c>
      <c r="H478" s="61">
        <f t="shared" si="282"/>
        <v>580</v>
      </c>
      <c r="I478" s="61">
        <f t="shared" si="282"/>
        <v>580</v>
      </c>
      <c r="J478" s="61">
        <f t="shared" si="282"/>
        <v>580</v>
      </c>
      <c r="K478" s="61">
        <f t="shared" si="282"/>
        <v>580</v>
      </c>
      <c r="L478" s="61">
        <f t="shared" si="282"/>
        <v>580</v>
      </c>
      <c r="M478" s="61">
        <f t="shared" si="282"/>
        <v>580</v>
      </c>
      <c r="N478" s="41"/>
      <c r="O478" s="43" t="s">
        <v>0</v>
      </c>
      <c r="P478" s="20" t="s">
        <v>509</v>
      </c>
    </row>
    <row r="479" spans="1:16" ht="15" hidden="1" customHeight="1" outlineLevel="1" x14ac:dyDescent="0.25">
      <c r="A479" s="38"/>
      <c r="C479" s="1" t="s">
        <v>123</v>
      </c>
      <c r="D479" s="41"/>
      <c r="E479" s="11">
        <f t="shared" ref="E479:M479" si="283">E34</f>
        <v>16</v>
      </c>
      <c r="F479" s="11">
        <f t="shared" si="283"/>
        <v>16</v>
      </c>
      <c r="G479" s="11">
        <f t="shared" si="283"/>
        <v>16</v>
      </c>
      <c r="H479" s="11">
        <f t="shared" si="283"/>
        <v>16</v>
      </c>
      <c r="I479" s="11">
        <f t="shared" si="283"/>
        <v>16</v>
      </c>
      <c r="J479" s="11">
        <f t="shared" si="283"/>
        <v>16</v>
      </c>
      <c r="K479" s="11">
        <f t="shared" si="283"/>
        <v>16</v>
      </c>
      <c r="L479" s="11">
        <f t="shared" si="283"/>
        <v>16</v>
      </c>
      <c r="M479" s="11">
        <f t="shared" si="283"/>
        <v>16</v>
      </c>
      <c r="N479" s="41"/>
      <c r="O479" s="43" t="s">
        <v>0</v>
      </c>
      <c r="P479" s="20" t="s">
        <v>509</v>
      </c>
    </row>
    <row r="480" spans="1:16" ht="15" hidden="1" customHeight="1" outlineLevel="1" x14ac:dyDescent="0.25">
      <c r="A480" s="38"/>
      <c r="C480" s="1" t="s">
        <v>126</v>
      </c>
      <c r="D480" s="41"/>
      <c r="E480" s="66">
        <f t="shared" ref="E480:M480" si="284">-(E76-E32)/(E75-E30)</f>
        <v>-1</v>
      </c>
      <c r="F480" s="66">
        <f t="shared" si="284"/>
        <v>-1</v>
      </c>
      <c r="G480" s="66">
        <f t="shared" si="284"/>
        <v>-1</v>
      </c>
      <c r="H480" s="66">
        <f t="shared" si="284"/>
        <v>-1</v>
      </c>
      <c r="I480" s="66">
        <f t="shared" si="284"/>
        <v>-1</v>
      </c>
      <c r="J480" s="66">
        <f t="shared" si="284"/>
        <v>-1</v>
      </c>
      <c r="K480" s="66">
        <f t="shared" si="284"/>
        <v>-1</v>
      </c>
      <c r="L480" s="66">
        <f t="shared" si="284"/>
        <v>-1</v>
      </c>
      <c r="M480" s="66">
        <f t="shared" si="284"/>
        <v>-1</v>
      </c>
      <c r="N480" s="41"/>
      <c r="O480" s="43"/>
      <c r="P480" s="20" t="s">
        <v>498</v>
      </c>
    </row>
    <row r="481" spans="1:16" ht="15" customHeight="1" collapsed="1" x14ac:dyDescent="0.25">
      <c r="C481" s="21"/>
    </row>
    <row r="482" spans="1:16" ht="15" customHeight="1" x14ac:dyDescent="0.25">
      <c r="C482" s="21"/>
    </row>
    <row r="483" spans="1:16" ht="15" customHeight="1" x14ac:dyDescent="0.3">
      <c r="A483" s="54" t="s">
        <v>465</v>
      </c>
      <c r="C483" s="21"/>
      <c r="P483" s="20" t="s">
        <v>534</v>
      </c>
    </row>
    <row r="484" spans="1:16" ht="15" hidden="1" customHeight="1" outlineLevel="1" x14ac:dyDescent="0.25">
      <c r="A484" s="21"/>
      <c r="C484" s="21"/>
    </row>
    <row r="485" spans="1:16" ht="15" hidden="1" customHeight="1" outlineLevel="1" x14ac:dyDescent="0.25">
      <c r="A485" s="53" t="s">
        <v>43</v>
      </c>
      <c r="C485" s="40"/>
      <c r="P485" s="20" t="s">
        <v>495</v>
      </c>
    </row>
    <row r="486" spans="1:16" ht="15" hidden="1" customHeight="1" outlineLevel="1" x14ac:dyDescent="0.25">
      <c r="A486" s="55"/>
      <c r="B486" s="1" t="s">
        <v>228</v>
      </c>
      <c r="C486" s="1"/>
      <c r="D486" s="41"/>
      <c r="E486" s="7">
        <f t="shared" ref="E486:M486" si="285">E487*E497*E498*E488/10^3</f>
        <v>1077.7310818077303</v>
      </c>
      <c r="F486" s="7">
        <f t="shared" si="285"/>
        <v>1012.2430623145581</v>
      </c>
      <c r="G486" s="7">
        <f t="shared" si="285"/>
        <v>1012.2430623145581</v>
      </c>
      <c r="H486" s="7">
        <f t="shared" si="285"/>
        <v>1012.2430623145581</v>
      </c>
      <c r="I486" s="7">
        <f t="shared" si="285"/>
        <v>1012.2430623145581</v>
      </c>
      <c r="J486" s="7">
        <f t="shared" si="285"/>
        <v>1012.2430623145581</v>
      </c>
      <c r="K486" s="7">
        <f t="shared" si="285"/>
        <v>1012.2430623145581</v>
      </c>
      <c r="L486" s="7">
        <f t="shared" si="285"/>
        <v>1012.2430623145581</v>
      </c>
      <c r="M486" s="7">
        <f t="shared" si="285"/>
        <v>1012.2430623145581</v>
      </c>
      <c r="N486" s="41"/>
      <c r="O486" s="1" t="s">
        <v>5</v>
      </c>
      <c r="P486" s="20" t="s">
        <v>495</v>
      </c>
    </row>
    <row r="487" spans="1:16" ht="15" hidden="1" customHeight="1" outlineLevel="1" x14ac:dyDescent="0.25">
      <c r="A487" s="55"/>
      <c r="B487" s="43"/>
      <c r="C487" s="1" t="s">
        <v>38</v>
      </c>
      <c r="D487" s="41"/>
      <c r="E487" s="8">
        <v>0.9</v>
      </c>
      <c r="F487" s="8">
        <v>0.9</v>
      </c>
      <c r="G487" s="8">
        <v>0.9</v>
      </c>
      <c r="H487" s="8">
        <v>0.9</v>
      </c>
      <c r="I487" s="8">
        <v>0.9</v>
      </c>
      <c r="J487" s="8">
        <v>0.9</v>
      </c>
      <c r="K487" s="8">
        <v>0.9</v>
      </c>
      <c r="L487" s="8">
        <v>0.9</v>
      </c>
      <c r="M487" s="8">
        <v>0.9</v>
      </c>
      <c r="N487" s="41"/>
      <c r="O487" s="43"/>
      <c r="P487" s="20" t="s">
        <v>515</v>
      </c>
    </row>
    <row r="488" spans="1:16" ht="15" hidden="1" customHeight="1" outlineLevel="1" x14ac:dyDescent="0.25">
      <c r="A488" s="21"/>
      <c r="B488" s="20" t="s">
        <v>101</v>
      </c>
      <c r="C488" s="21"/>
      <c r="E488" s="62">
        <f t="shared" ref="E488:M488" si="286">E494*E489</f>
        <v>133.64720756544273</v>
      </c>
      <c r="F488" s="62">
        <f t="shared" si="286"/>
        <v>125.52617340210294</v>
      </c>
      <c r="G488" s="62">
        <f t="shared" si="286"/>
        <v>125.52617340210294</v>
      </c>
      <c r="H488" s="62">
        <f t="shared" si="286"/>
        <v>125.52617340210294</v>
      </c>
      <c r="I488" s="62">
        <f t="shared" si="286"/>
        <v>125.52617340210294</v>
      </c>
      <c r="J488" s="62">
        <f t="shared" si="286"/>
        <v>125.52617340210294</v>
      </c>
      <c r="K488" s="62">
        <f t="shared" si="286"/>
        <v>125.52617340210294</v>
      </c>
      <c r="L488" s="62">
        <f t="shared" si="286"/>
        <v>125.52617340210294</v>
      </c>
      <c r="M488" s="62">
        <f t="shared" si="286"/>
        <v>125.52617340210294</v>
      </c>
      <c r="O488" s="43" t="s">
        <v>8</v>
      </c>
      <c r="P488" s="20" t="s">
        <v>495</v>
      </c>
    </row>
    <row r="489" spans="1:16" ht="15" hidden="1" customHeight="1" outlineLevel="1" x14ac:dyDescent="0.25">
      <c r="A489" s="21"/>
      <c r="B489" s="43" t="s">
        <v>56</v>
      </c>
      <c r="C489" s="1"/>
      <c r="D489" s="41"/>
      <c r="E489" s="51">
        <f t="shared" ref="E489:M489" si="287">MIN(1,E490-SQRT(E490^2-1/E493^2))</f>
        <v>0.9281056080933523</v>
      </c>
      <c r="F489" s="51">
        <f t="shared" si="287"/>
        <v>0.87170953751460378</v>
      </c>
      <c r="G489" s="51">
        <f t="shared" si="287"/>
        <v>0.87170953751460378</v>
      </c>
      <c r="H489" s="51">
        <f t="shared" si="287"/>
        <v>0.87170953751460378</v>
      </c>
      <c r="I489" s="51">
        <f t="shared" si="287"/>
        <v>0.87170953751460378</v>
      </c>
      <c r="J489" s="51">
        <f t="shared" si="287"/>
        <v>0.87170953751460378</v>
      </c>
      <c r="K489" s="51">
        <f t="shared" si="287"/>
        <v>0.87170953751460378</v>
      </c>
      <c r="L489" s="51">
        <f t="shared" si="287"/>
        <v>0.87170953751460378</v>
      </c>
      <c r="M489" s="51">
        <f t="shared" si="287"/>
        <v>0.87170953751460378</v>
      </c>
      <c r="N489" s="41"/>
      <c r="O489" s="43"/>
      <c r="P489" s="20" t="s">
        <v>500</v>
      </c>
    </row>
    <row r="490" spans="1:16" ht="15" hidden="1" customHeight="1" outlineLevel="1" x14ac:dyDescent="0.25">
      <c r="A490" s="21"/>
      <c r="B490" s="43" t="s">
        <v>57</v>
      </c>
      <c r="C490" s="1"/>
      <c r="D490" s="41"/>
      <c r="E490" s="51">
        <f t="shared" ref="E490:M490" si="288">(1+E491*(E493-E492)+E493^2)/(2*E493^2)</f>
        <v>1.5405570340508101</v>
      </c>
      <c r="F490" s="51">
        <f t="shared" si="288"/>
        <v>1.5820044550985675</v>
      </c>
      <c r="G490" s="51">
        <f t="shared" si="288"/>
        <v>1.5820044550985675</v>
      </c>
      <c r="H490" s="51">
        <f t="shared" si="288"/>
        <v>1.5820044550985675</v>
      </c>
      <c r="I490" s="51">
        <f t="shared" si="288"/>
        <v>1.5820044550985675</v>
      </c>
      <c r="J490" s="51">
        <f t="shared" si="288"/>
        <v>1.5820044550985675</v>
      </c>
      <c r="K490" s="51">
        <f t="shared" si="288"/>
        <v>1.5820044550985675</v>
      </c>
      <c r="L490" s="51">
        <f t="shared" si="288"/>
        <v>1.5820044550985675</v>
      </c>
      <c r="M490" s="51">
        <f t="shared" si="288"/>
        <v>1.5820044550985675</v>
      </c>
      <c r="N490" s="41"/>
      <c r="O490" s="43"/>
      <c r="P490" s="20" t="s">
        <v>500</v>
      </c>
    </row>
    <row r="491" spans="1:16" ht="15" hidden="1" customHeight="1" outlineLevel="1" x14ac:dyDescent="0.25">
      <c r="A491" s="21"/>
      <c r="C491" s="1" t="s">
        <v>205</v>
      </c>
      <c r="D491" s="41"/>
      <c r="E491" s="66">
        <f t="shared" ref="E491:M491" si="289">E48</f>
        <v>0.2</v>
      </c>
      <c r="F491" s="66">
        <f t="shared" si="289"/>
        <v>0.4</v>
      </c>
      <c r="G491" s="66">
        <f t="shared" si="289"/>
        <v>0.4</v>
      </c>
      <c r="H491" s="66">
        <f t="shared" si="289"/>
        <v>0.4</v>
      </c>
      <c r="I491" s="66">
        <f t="shared" si="289"/>
        <v>0.4</v>
      </c>
      <c r="J491" s="66">
        <f t="shared" si="289"/>
        <v>0.4</v>
      </c>
      <c r="K491" s="66">
        <f t="shared" si="289"/>
        <v>0.4</v>
      </c>
      <c r="L491" s="66">
        <f t="shared" si="289"/>
        <v>0.4</v>
      </c>
      <c r="M491" s="66">
        <f t="shared" si="289"/>
        <v>0.4</v>
      </c>
      <c r="N491" s="41"/>
      <c r="O491" s="43"/>
      <c r="P491" s="20" t="s">
        <v>500</v>
      </c>
    </row>
    <row r="492" spans="1:16" ht="15" hidden="1" customHeight="1" outlineLevel="1" x14ac:dyDescent="0.25">
      <c r="A492" s="21"/>
      <c r="C492" s="1" t="s">
        <v>51</v>
      </c>
      <c r="D492" s="41"/>
      <c r="E492" s="11">
        <v>0.5</v>
      </c>
      <c r="F492" s="11">
        <v>0.5</v>
      </c>
      <c r="G492" s="11">
        <v>0.5</v>
      </c>
      <c r="H492" s="11">
        <v>0.5</v>
      </c>
      <c r="I492" s="11">
        <v>0.5</v>
      </c>
      <c r="J492" s="11">
        <v>0.5</v>
      </c>
      <c r="K492" s="11">
        <v>0.5</v>
      </c>
      <c r="L492" s="11">
        <v>0.5</v>
      </c>
      <c r="M492" s="11">
        <v>0.5</v>
      </c>
      <c r="N492" s="41"/>
      <c r="O492" s="43"/>
      <c r="P492" s="20" t="s">
        <v>500</v>
      </c>
    </row>
    <row r="493" spans="1:16" ht="15" hidden="1" customHeight="1" outlineLevel="1" x14ac:dyDescent="0.25">
      <c r="A493" s="21"/>
      <c r="B493" s="43" t="s">
        <v>103</v>
      </c>
      <c r="C493" s="1"/>
      <c r="D493" s="41"/>
      <c r="E493" s="51">
        <f t="shared" ref="E493:M493" si="290">E496/PI()*SQRT(E494/E495)</f>
        <v>0.70742179090429125</v>
      </c>
      <c r="F493" s="51">
        <f t="shared" si="290"/>
        <v>0.70742179090429125</v>
      </c>
      <c r="G493" s="51">
        <f t="shared" si="290"/>
        <v>0.70742179090429125</v>
      </c>
      <c r="H493" s="51">
        <f t="shared" si="290"/>
        <v>0.70742179090429125</v>
      </c>
      <c r="I493" s="51">
        <f t="shared" si="290"/>
        <v>0.70742179090429125</v>
      </c>
      <c r="J493" s="51">
        <f t="shared" si="290"/>
        <v>0.70742179090429125</v>
      </c>
      <c r="K493" s="51">
        <f t="shared" si="290"/>
        <v>0.70742179090429125</v>
      </c>
      <c r="L493" s="51">
        <f t="shared" si="290"/>
        <v>0.70742179090429125</v>
      </c>
      <c r="M493" s="51">
        <f t="shared" si="290"/>
        <v>0.70742179090429125</v>
      </c>
      <c r="N493" s="41"/>
      <c r="O493" s="43"/>
      <c r="P493" s="20" t="s">
        <v>495</v>
      </c>
    </row>
    <row r="494" spans="1:16" ht="15" hidden="1" customHeight="1" outlineLevel="1" x14ac:dyDescent="0.25">
      <c r="A494" s="21"/>
      <c r="C494" s="21" t="s">
        <v>102</v>
      </c>
      <c r="D494" s="41"/>
      <c r="E494" s="61">
        <f t="shared" ref="E494:M494" si="291">0.6*E22</f>
        <v>144</v>
      </c>
      <c r="F494" s="61">
        <f t="shared" si="291"/>
        <v>144</v>
      </c>
      <c r="G494" s="61">
        <f t="shared" si="291"/>
        <v>144</v>
      </c>
      <c r="H494" s="61">
        <f t="shared" si="291"/>
        <v>144</v>
      </c>
      <c r="I494" s="61">
        <f t="shared" si="291"/>
        <v>144</v>
      </c>
      <c r="J494" s="61">
        <f t="shared" si="291"/>
        <v>144</v>
      </c>
      <c r="K494" s="61">
        <f t="shared" si="291"/>
        <v>144</v>
      </c>
      <c r="L494" s="61">
        <f t="shared" si="291"/>
        <v>144</v>
      </c>
      <c r="M494" s="61">
        <f t="shared" si="291"/>
        <v>144</v>
      </c>
      <c r="N494" s="41"/>
      <c r="O494" s="43" t="s">
        <v>8</v>
      </c>
      <c r="P494" s="20" t="s">
        <v>523</v>
      </c>
    </row>
    <row r="495" spans="1:16" ht="15" hidden="1" customHeight="1" outlineLevel="1" x14ac:dyDescent="0.25">
      <c r="A495" s="21"/>
      <c r="C495" s="1" t="s">
        <v>30</v>
      </c>
      <c r="D495" s="41"/>
      <c r="E495" s="57">
        <f t="shared" ref="E495:M495" si="292">E25</f>
        <v>70000</v>
      </c>
      <c r="F495" s="57">
        <f t="shared" si="292"/>
        <v>70000</v>
      </c>
      <c r="G495" s="57">
        <f t="shared" si="292"/>
        <v>70000</v>
      </c>
      <c r="H495" s="57">
        <f t="shared" si="292"/>
        <v>70000</v>
      </c>
      <c r="I495" s="57">
        <f t="shared" si="292"/>
        <v>70000</v>
      </c>
      <c r="J495" s="57">
        <f t="shared" si="292"/>
        <v>70000</v>
      </c>
      <c r="K495" s="57">
        <f t="shared" si="292"/>
        <v>70000</v>
      </c>
      <c r="L495" s="57">
        <f t="shared" si="292"/>
        <v>70000</v>
      </c>
      <c r="M495" s="57">
        <f t="shared" si="292"/>
        <v>70000</v>
      </c>
      <c r="N495" s="41"/>
      <c r="O495" s="43" t="s">
        <v>8</v>
      </c>
      <c r="P495" s="20" t="s">
        <v>497</v>
      </c>
    </row>
    <row r="496" spans="1:16" ht="15" hidden="1" customHeight="1" outlineLevel="1" x14ac:dyDescent="0.25">
      <c r="A496" s="21"/>
      <c r="B496" s="43" t="s">
        <v>110</v>
      </c>
      <c r="C496" s="1"/>
      <c r="D496" s="41"/>
      <c r="E496" s="57">
        <f t="shared" ref="E496:M496" si="293">1.4*E497/E498</f>
        <v>49</v>
      </c>
      <c r="F496" s="57">
        <f t="shared" si="293"/>
        <v>49</v>
      </c>
      <c r="G496" s="57">
        <f t="shared" si="293"/>
        <v>49</v>
      </c>
      <c r="H496" s="57">
        <f t="shared" si="293"/>
        <v>49</v>
      </c>
      <c r="I496" s="57">
        <f t="shared" si="293"/>
        <v>49</v>
      </c>
      <c r="J496" s="57">
        <f t="shared" si="293"/>
        <v>49</v>
      </c>
      <c r="K496" s="57">
        <f t="shared" si="293"/>
        <v>49</v>
      </c>
      <c r="L496" s="57">
        <f t="shared" si="293"/>
        <v>49</v>
      </c>
      <c r="M496" s="57">
        <f t="shared" si="293"/>
        <v>49</v>
      </c>
      <c r="N496" s="41"/>
      <c r="O496" s="43"/>
      <c r="P496" s="20" t="s">
        <v>535</v>
      </c>
    </row>
    <row r="497" spans="1:16" ht="15" hidden="1" customHeight="1" outlineLevel="1" x14ac:dyDescent="0.25">
      <c r="A497" s="21"/>
      <c r="C497" s="1" t="s">
        <v>14</v>
      </c>
      <c r="D497" s="41"/>
      <c r="E497" s="61">
        <f t="shared" ref="E497:M497" si="294">E35</f>
        <v>560</v>
      </c>
      <c r="F497" s="61">
        <f t="shared" si="294"/>
        <v>560</v>
      </c>
      <c r="G497" s="61">
        <f t="shared" si="294"/>
        <v>560</v>
      </c>
      <c r="H497" s="61">
        <f t="shared" si="294"/>
        <v>560</v>
      </c>
      <c r="I497" s="61">
        <f t="shared" si="294"/>
        <v>560</v>
      </c>
      <c r="J497" s="61">
        <f t="shared" si="294"/>
        <v>560</v>
      </c>
      <c r="K497" s="61">
        <f t="shared" si="294"/>
        <v>560</v>
      </c>
      <c r="L497" s="61">
        <f t="shared" si="294"/>
        <v>560</v>
      </c>
      <c r="M497" s="61">
        <f t="shared" si="294"/>
        <v>560</v>
      </c>
      <c r="N497" s="41"/>
      <c r="O497" s="43" t="s">
        <v>0</v>
      </c>
      <c r="P497" s="20" t="s">
        <v>495</v>
      </c>
    </row>
    <row r="498" spans="1:16" ht="15" hidden="1" customHeight="1" outlineLevel="1" x14ac:dyDescent="0.25">
      <c r="A498" s="21"/>
      <c r="C498" s="1" t="s">
        <v>7</v>
      </c>
      <c r="D498" s="41"/>
      <c r="E498" s="11">
        <f t="shared" ref="E498:M498" si="295">E34</f>
        <v>16</v>
      </c>
      <c r="F498" s="11">
        <f t="shared" si="295"/>
        <v>16</v>
      </c>
      <c r="G498" s="11">
        <f t="shared" si="295"/>
        <v>16</v>
      </c>
      <c r="H498" s="11">
        <f t="shared" si="295"/>
        <v>16</v>
      </c>
      <c r="I498" s="11">
        <f t="shared" si="295"/>
        <v>16</v>
      </c>
      <c r="J498" s="11">
        <f t="shared" si="295"/>
        <v>16</v>
      </c>
      <c r="K498" s="11">
        <f t="shared" si="295"/>
        <v>16</v>
      </c>
      <c r="L498" s="11">
        <f t="shared" si="295"/>
        <v>16</v>
      </c>
      <c r="M498" s="11">
        <f t="shared" si="295"/>
        <v>16</v>
      </c>
      <c r="N498" s="41"/>
      <c r="O498" s="43" t="s">
        <v>0</v>
      </c>
      <c r="P498" s="20" t="s">
        <v>495</v>
      </c>
    </row>
    <row r="499" spans="1:16" ht="15" hidden="1" customHeight="1" outlineLevel="1" x14ac:dyDescent="0.25">
      <c r="A499" s="21"/>
      <c r="C499" s="21"/>
    </row>
    <row r="500" spans="1:16" ht="15" hidden="1" customHeight="1" outlineLevel="1" x14ac:dyDescent="0.25">
      <c r="A500" s="53" t="s">
        <v>105</v>
      </c>
      <c r="C500" s="40"/>
      <c r="P500" s="20" t="s">
        <v>536</v>
      </c>
    </row>
    <row r="501" spans="1:16" ht="15" hidden="1" customHeight="1" outlineLevel="1" x14ac:dyDescent="0.25">
      <c r="A501" s="55"/>
      <c r="B501" s="20" t="s">
        <v>201</v>
      </c>
      <c r="C501" s="21"/>
      <c r="E501" s="7">
        <f t="shared" ref="E501:M501" si="296">MIN(E502:E503)</f>
        <v>1159.704833444805</v>
      </c>
      <c r="F501" s="7">
        <f t="shared" si="296"/>
        <v>1156.2386979935413</v>
      </c>
      <c r="G501" s="7">
        <f t="shared" si="296"/>
        <v>1156.2386979935413</v>
      </c>
      <c r="H501" s="7">
        <f t="shared" si="296"/>
        <v>1156.2386979935413</v>
      </c>
      <c r="I501" s="7">
        <f t="shared" si="296"/>
        <v>1156.2386979935413</v>
      </c>
      <c r="J501" s="7">
        <f t="shared" si="296"/>
        <v>1156.2386979935413</v>
      </c>
      <c r="K501" s="7">
        <f t="shared" si="296"/>
        <v>1156.2386979935413</v>
      </c>
      <c r="L501" s="7">
        <f t="shared" si="296"/>
        <v>1156.2386979935413</v>
      </c>
      <c r="M501" s="7">
        <f t="shared" si="296"/>
        <v>1156.2386979935413</v>
      </c>
      <c r="O501" s="1" t="s">
        <v>5</v>
      </c>
      <c r="P501" s="20" t="s">
        <v>536</v>
      </c>
    </row>
    <row r="502" spans="1:16" ht="15" hidden="1" customHeight="1" outlineLevel="1" x14ac:dyDescent="0.25">
      <c r="A502" s="55"/>
      <c r="B502" s="1" t="s">
        <v>229</v>
      </c>
      <c r="C502" s="1"/>
      <c r="D502" s="41"/>
      <c r="E502" s="7">
        <f t="shared" ref="E502:M502" si="297">E506*(2*SQRT(E507*E505/E518)-E507)*E516*E518/10^3</f>
        <v>1159.704833444805</v>
      </c>
      <c r="F502" s="7">
        <f t="shared" si="297"/>
        <v>1156.2386979935413</v>
      </c>
      <c r="G502" s="7">
        <f t="shared" si="297"/>
        <v>1156.2386979935413</v>
      </c>
      <c r="H502" s="7">
        <f t="shared" si="297"/>
        <v>1156.2386979935413</v>
      </c>
      <c r="I502" s="7">
        <f t="shared" si="297"/>
        <v>1156.2386979935413</v>
      </c>
      <c r="J502" s="7">
        <f t="shared" si="297"/>
        <v>1156.2386979935413</v>
      </c>
      <c r="K502" s="7">
        <f t="shared" si="297"/>
        <v>1156.2386979935413</v>
      </c>
      <c r="L502" s="7">
        <f t="shared" si="297"/>
        <v>1156.2386979935413</v>
      </c>
      <c r="M502" s="7">
        <f t="shared" si="297"/>
        <v>1156.2386979935413</v>
      </c>
      <c r="N502" s="41"/>
      <c r="O502" s="1" t="s">
        <v>5</v>
      </c>
      <c r="P502" s="20" t="s">
        <v>537</v>
      </c>
    </row>
    <row r="503" spans="1:16" ht="15" hidden="1" customHeight="1" outlineLevel="1" x14ac:dyDescent="0.25">
      <c r="A503" s="55"/>
      <c r="B503" s="1" t="s">
        <v>230</v>
      </c>
      <c r="C503" s="1"/>
      <c r="D503" s="41"/>
      <c r="E503" s="7">
        <f t="shared" ref="E503:M503" si="298">E504*E516/10^3</f>
        <v>1161.2159999999999</v>
      </c>
      <c r="F503" s="7">
        <f t="shared" si="298"/>
        <v>1161.2159999999999</v>
      </c>
      <c r="G503" s="7">
        <f t="shared" si="298"/>
        <v>1161.2159999999999</v>
      </c>
      <c r="H503" s="7">
        <f t="shared" si="298"/>
        <v>1161.2159999999999</v>
      </c>
      <c r="I503" s="7">
        <f t="shared" si="298"/>
        <v>1161.2159999999999</v>
      </c>
      <c r="J503" s="7">
        <f t="shared" si="298"/>
        <v>1161.2159999999999</v>
      </c>
      <c r="K503" s="7">
        <f t="shared" si="298"/>
        <v>1161.2159999999999</v>
      </c>
      <c r="L503" s="7">
        <f t="shared" si="298"/>
        <v>1161.2159999999999</v>
      </c>
      <c r="M503" s="7">
        <f t="shared" si="298"/>
        <v>1161.2159999999999</v>
      </c>
      <c r="N503" s="41"/>
      <c r="O503" s="1" t="s">
        <v>5</v>
      </c>
      <c r="P503" s="20" t="s">
        <v>538</v>
      </c>
    </row>
    <row r="504" spans="1:16" ht="15" hidden="1" customHeight="1" outlineLevel="1" x14ac:dyDescent="0.25">
      <c r="A504" s="55"/>
      <c r="B504" s="1" t="s">
        <v>212</v>
      </c>
      <c r="C504" s="1"/>
      <c r="D504" s="41"/>
      <c r="E504" s="7">
        <f t="shared" ref="E504:M504" si="299">E506*E505</f>
        <v>2073.6</v>
      </c>
      <c r="F504" s="7">
        <f t="shared" si="299"/>
        <v>2073.6</v>
      </c>
      <c r="G504" s="7">
        <f t="shared" si="299"/>
        <v>2073.6</v>
      </c>
      <c r="H504" s="7">
        <f t="shared" si="299"/>
        <v>2073.6</v>
      </c>
      <c r="I504" s="7">
        <f t="shared" si="299"/>
        <v>2073.6</v>
      </c>
      <c r="J504" s="7">
        <f t="shared" si="299"/>
        <v>2073.6</v>
      </c>
      <c r="K504" s="7">
        <f t="shared" si="299"/>
        <v>2073.6</v>
      </c>
      <c r="L504" s="7">
        <f t="shared" si="299"/>
        <v>2073.6</v>
      </c>
      <c r="M504" s="7">
        <f t="shared" si="299"/>
        <v>2073.6</v>
      </c>
      <c r="N504" s="41"/>
      <c r="O504" s="1" t="s">
        <v>109</v>
      </c>
      <c r="P504" s="20" t="s">
        <v>539</v>
      </c>
    </row>
    <row r="505" spans="1:16" ht="15" hidden="1" customHeight="1" outlineLevel="1" x14ac:dyDescent="0.25">
      <c r="A505" s="55"/>
      <c r="B505" s="1" t="s">
        <v>108</v>
      </c>
      <c r="C505" s="1"/>
      <c r="D505" s="41"/>
      <c r="E505" s="7">
        <f t="shared" ref="E505:J505" si="300">E513*E518</f>
        <v>2304</v>
      </c>
      <c r="F505" s="7">
        <f t="shared" si="300"/>
        <v>2304</v>
      </c>
      <c r="G505" s="7">
        <f t="shared" si="300"/>
        <v>2304</v>
      </c>
      <c r="H505" s="7">
        <f t="shared" si="300"/>
        <v>2304</v>
      </c>
      <c r="I505" s="7">
        <f t="shared" si="300"/>
        <v>2304</v>
      </c>
      <c r="J505" s="7">
        <f t="shared" si="300"/>
        <v>2304</v>
      </c>
      <c r="K505" s="7">
        <f>K513*K518</f>
        <v>2304</v>
      </c>
      <c r="L505" s="7">
        <f>L513*L518</f>
        <v>2304</v>
      </c>
      <c r="M505" s="7">
        <f>M513*M518</f>
        <v>2304</v>
      </c>
      <c r="N505" s="41"/>
      <c r="O505" s="1" t="s">
        <v>109</v>
      </c>
      <c r="P505" s="20" t="s">
        <v>539</v>
      </c>
    </row>
    <row r="506" spans="1:16" ht="15" hidden="1" customHeight="1" outlineLevel="1" x14ac:dyDescent="0.25">
      <c r="A506" s="55"/>
      <c r="B506" s="43"/>
      <c r="C506" s="1" t="s">
        <v>199</v>
      </c>
      <c r="D506" s="41"/>
      <c r="E506" s="8">
        <v>0.9</v>
      </c>
      <c r="F506" s="8">
        <v>0.9</v>
      </c>
      <c r="G506" s="8">
        <v>0.9</v>
      </c>
      <c r="H506" s="8">
        <v>0.9</v>
      </c>
      <c r="I506" s="8">
        <v>0.9</v>
      </c>
      <c r="J506" s="8">
        <v>0.9</v>
      </c>
      <c r="K506" s="8">
        <v>0.9</v>
      </c>
      <c r="L506" s="8">
        <v>0.9</v>
      </c>
      <c r="M506" s="8">
        <v>0.9</v>
      </c>
      <c r="N506" s="41"/>
      <c r="O506" s="43"/>
      <c r="P506" s="20" t="s">
        <v>540</v>
      </c>
    </row>
    <row r="507" spans="1:16" ht="15" hidden="1" customHeight="1" outlineLevel="1" x14ac:dyDescent="0.25">
      <c r="A507" s="21"/>
      <c r="B507" s="20" t="s">
        <v>101</v>
      </c>
      <c r="C507" s="21"/>
      <c r="E507" s="62">
        <f t="shared" ref="E507:M507" si="301">E513*E508</f>
        <v>133.7979564193343</v>
      </c>
      <c r="F507" s="62">
        <f t="shared" si="301"/>
        <v>125.76194526910567</v>
      </c>
      <c r="G507" s="62">
        <f t="shared" si="301"/>
        <v>125.76194526910567</v>
      </c>
      <c r="H507" s="62">
        <f t="shared" si="301"/>
        <v>125.76194526910567</v>
      </c>
      <c r="I507" s="62">
        <f t="shared" si="301"/>
        <v>125.76194526910567</v>
      </c>
      <c r="J507" s="62">
        <f t="shared" si="301"/>
        <v>125.76194526910567</v>
      </c>
      <c r="K507" s="62">
        <f t="shared" si="301"/>
        <v>125.76194526910567</v>
      </c>
      <c r="L507" s="62">
        <f t="shared" si="301"/>
        <v>125.76194526910567</v>
      </c>
      <c r="M507" s="62">
        <f t="shared" si="301"/>
        <v>125.76194526910567</v>
      </c>
      <c r="O507" s="43" t="s">
        <v>8</v>
      </c>
      <c r="P507" s="20" t="s">
        <v>536</v>
      </c>
    </row>
    <row r="508" spans="1:16" ht="15" hidden="1" customHeight="1" outlineLevel="1" x14ac:dyDescent="0.25">
      <c r="A508" s="21"/>
      <c r="B508" s="43" t="s">
        <v>56</v>
      </c>
      <c r="C508" s="1"/>
      <c r="D508" s="41"/>
      <c r="E508" s="51">
        <f t="shared" ref="E508:M508" si="302">MIN(1,E509-SQRT(E509^2-1/E512^2))</f>
        <v>0.92915247513426591</v>
      </c>
      <c r="F508" s="51">
        <f t="shared" si="302"/>
        <v>0.8733468421465671</v>
      </c>
      <c r="G508" s="51">
        <f t="shared" si="302"/>
        <v>0.8733468421465671</v>
      </c>
      <c r="H508" s="51">
        <f t="shared" si="302"/>
        <v>0.8733468421465671</v>
      </c>
      <c r="I508" s="51">
        <f t="shared" si="302"/>
        <v>0.8733468421465671</v>
      </c>
      <c r="J508" s="51">
        <f t="shared" si="302"/>
        <v>0.8733468421465671</v>
      </c>
      <c r="K508" s="51">
        <f t="shared" si="302"/>
        <v>0.8733468421465671</v>
      </c>
      <c r="L508" s="51">
        <f t="shared" si="302"/>
        <v>0.8733468421465671</v>
      </c>
      <c r="M508" s="51">
        <f t="shared" si="302"/>
        <v>0.8733468421465671</v>
      </c>
      <c r="N508" s="41"/>
      <c r="O508" s="43"/>
      <c r="P508" s="20" t="s">
        <v>500</v>
      </c>
    </row>
    <row r="509" spans="1:16" ht="15" hidden="1" customHeight="1" outlineLevel="1" x14ac:dyDescent="0.25">
      <c r="A509" s="21"/>
      <c r="B509" s="43" t="s">
        <v>57</v>
      </c>
      <c r="C509" s="1"/>
      <c r="D509" s="41"/>
      <c r="E509" s="51">
        <f t="shared" ref="E509:M509" si="303">(1+E510*(E512-E511)+E512^2)/(2*E512^2)</f>
        <v>1.5468928175192247</v>
      </c>
      <c r="F509" s="51">
        <f t="shared" si="303"/>
        <v>1.5881485058971101</v>
      </c>
      <c r="G509" s="51">
        <f t="shared" si="303"/>
        <v>1.5881485058971101</v>
      </c>
      <c r="H509" s="51">
        <f t="shared" si="303"/>
        <v>1.5881485058971101</v>
      </c>
      <c r="I509" s="51">
        <f t="shared" si="303"/>
        <v>1.5881485058971101</v>
      </c>
      <c r="J509" s="51">
        <f t="shared" si="303"/>
        <v>1.5881485058971101</v>
      </c>
      <c r="K509" s="51">
        <f t="shared" si="303"/>
        <v>1.5881485058971101</v>
      </c>
      <c r="L509" s="51">
        <f t="shared" si="303"/>
        <v>1.5881485058971101</v>
      </c>
      <c r="M509" s="51">
        <f t="shared" si="303"/>
        <v>1.5881485058971101</v>
      </c>
      <c r="N509" s="41"/>
      <c r="O509" s="43"/>
      <c r="P509" s="20" t="s">
        <v>500</v>
      </c>
    </row>
    <row r="510" spans="1:16" ht="15" hidden="1" customHeight="1" outlineLevel="1" x14ac:dyDescent="0.25">
      <c r="A510" s="21"/>
      <c r="C510" s="1" t="s">
        <v>205</v>
      </c>
      <c r="D510" s="41"/>
      <c r="E510" s="66">
        <f t="shared" ref="E510:M510" si="304">E48</f>
        <v>0.2</v>
      </c>
      <c r="F510" s="66">
        <f t="shared" si="304"/>
        <v>0.4</v>
      </c>
      <c r="G510" s="66">
        <f t="shared" si="304"/>
        <v>0.4</v>
      </c>
      <c r="H510" s="66">
        <f t="shared" si="304"/>
        <v>0.4</v>
      </c>
      <c r="I510" s="66">
        <f t="shared" si="304"/>
        <v>0.4</v>
      </c>
      <c r="J510" s="66">
        <f t="shared" si="304"/>
        <v>0.4</v>
      </c>
      <c r="K510" s="66">
        <f t="shared" si="304"/>
        <v>0.4</v>
      </c>
      <c r="L510" s="66">
        <f t="shared" si="304"/>
        <v>0.4</v>
      </c>
      <c r="M510" s="66">
        <f t="shared" si="304"/>
        <v>0.4</v>
      </c>
      <c r="N510" s="41"/>
      <c r="O510" s="43"/>
      <c r="P510" s="20" t="s">
        <v>500</v>
      </c>
    </row>
    <row r="511" spans="1:16" ht="15" hidden="1" customHeight="1" outlineLevel="1" x14ac:dyDescent="0.25">
      <c r="A511" s="21"/>
      <c r="C511" s="1" t="s">
        <v>51</v>
      </c>
      <c r="D511" s="41"/>
      <c r="E511" s="11">
        <v>0.5</v>
      </c>
      <c r="F511" s="11">
        <v>0.5</v>
      </c>
      <c r="G511" s="11">
        <v>0.5</v>
      </c>
      <c r="H511" s="11">
        <v>0.5</v>
      </c>
      <c r="I511" s="11">
        <v>0.5</v>
      </c>
      <c r="J511" s="11">
        <v>0.5</v>
      </c>
      <c r="K511" s="11">
        <v>0.5</v>
      </c>
      <c r="L511" s="11">
        <v>0.5</v>
      </c>
      <c r="M511" s="11">
        <v>0.5</v>
      </c>
      <c r="N511" s="41"/>
      <c r="O511" s="43"/>
      <c r="P511" s="20" t="s">
        <v>500</v>
      </c>
    </row>
    <row r="512" spans="1:16" ht="15" hidden="1" customHeight="1" outlineLevel="1" x14ac:dyDescent="0.25">
      <c r="A512" s="21"/>
      <c r="B512" s="43" t="s">
        <v>103</v>
      </c>
      <c r="C512" s="1"/>
      <c r="D512" s="41"/>
      <c r="E512" s="51">
        <f t="shared" ref="E512:M512" si="305">E515/PI()*SQRT(E513/E514)</f>
        <v>0.70512214188586764</v>
      </c>
      <c r="F512" s="51">
        <f t="shared" si="305"/>
        <v>0.70512214188586764</v>
      </c>
      <c r="G512" s="51">
        <f t="shared" si="305"/>
        <v>0.70512214188586764</v>
      </c>
      <c r="H512" s="51">
        <f t="shared" si="305"/>
        <v>0.70512214188586764</v>
      </c>
      <c r="I512" s="51">
        <f t="shared" si="305"/>
        <v>0.70512214188586764</v>
      </c>
      <c r="J512" s="51">
        <f t="shared" si="305"/>
        <v>0.70512214188586764</v>
      </c>
      <c r="K512" s="51">
        <f t="shared" si="305"/>
        <v>0.70512214188586764</v>
      </c>
      <c r="L512" s="51">
        <f t="shared" si="305"/>
        <v>0.70512214188586764</v>
      </c>
      <c r="M512" s="51">
        <f t="shared" si="305"/>
        <v>0.70512214188586764</v>
      </c>
      <c r="N512" s="41"/>
      <c r="O512" s="43"/>
      <c r="P512" s="20" t="s">
        <v>536</v>
      </c>
    </row>
    <row r="513" spans="1:16" ht="15" hidden="1" customHeight="1" outlineLevel="1" x14ac:dyDescent="0.25">
      <c r="A513" s="21"/>
      <c r="C513" s="21" t="s">
        <v>102</v>
      </c>
      <c r="D513" s="41"/>
      <c r="E513" s="61">
        <f t="shared" ref="E513:M513" si="306">0.6*E22</f>
        <v>144</v>
      </c>
      <c r="F513" s="61">
        <f t="shared" si="306"/>
        <v>144</v>
      </c>
      <c r="G513" s="61">
        <f t="shared" si="306"/>
        <v>144</v>
      </c>
      <c r="H513" s="61">
        <f t="shared" si="306"/>
        <v>144</v>
      </c>
      <c r="I513" s="61">
        <f t="shared" si="306"/>
        <v>144</v>
      </c>
      <c r="J513" s="61">
        <f t="shared" si="306"/>
        <v>144</v>
      </c>
      <c r="K513" s="61">
        <f t="shared" si="306"/>
        <v>144</v>
      </c>
      <c r="L513" s="61">
        <f t="shared" si="306"/>
        <v>144</v>
      </c>
      <c r="M513" s="61">
        <f t="shared" si="306"/>
        <v>144</v>
      </c>
      <c r="N513" s="41"/>
      <c r="O513" s="43" t="s">
        <v>8</v>
      </c>
      <c r="P513" s="20" t="s">
        <v>523</v>
      </c>
    </row>
    <row r="514" spans="1:16" ht="15" hidden="1" customHeight="1" outlineLevel="1" x14ac:dyDescent="0.25">
      <c r="A514" s="21"/>
      <c r="C514" s="1" t="s">
        <v>30</v>
      </c>
      <c r="D514" s="41"/>
      <c r="E514" s="57">
        <f t="shared" ref="E514:M514" si="307">E25</f>
        <v>70000</v>
      </c>
      <c r="F514" s="57">
        <f t="shared" si="307"/>
        <v>70000</v>
      </c>
      <c r="G514" s="57">
        <f t="shared" si="307"/>
        <v>70000</v>
      </c>
      <c r="H514" s="57">
        <f t="shared" si="307"/>
        <v>70000</v>
      </c>
      <c r="I514" s="57">
        <f t="shared" si="307"/>
        <v>70000</v>
      </c>
      <c r="J514" s="57">
        <f t="shared" si="307"/>
        <v>70000</v>
      </c>
      <c r="K514" s="57">
        <f t="shared" si="307"/>
        <v>70000</v>
      </c>
      <c r="L514" s="57">
        <f t="shared" si="307"/>
        <v>70000</v>
      </c>
      <c r="M514" s="57">
        <f t="shared" si="307"/>
        <v>70000</v>
      </c>
      <c r="N514" s="41"/>
      <c r="O514" s="43" t="s">
        <v>8</v>
      </c>
      <c r="P514" s="20" t="s">
        <v>497</v>
      </c>
    </row>
    <row r="515" spans="1:16" ht="15" hidden="1" customHeight="1" outlineLevel="1" x14ac:dyDescent="0.25">
      <c r="A515" s="21"/>
      <c r="B515" s="43" t="s">
        <v>107</v>
      </c>
      <c r="C515" s="1"/>
      <c r="D515" s="41"/>
      <c r="E515" s="57">
        <f t="shared" ref="E515:M515" si="308">1.4*E516/E518/SQRT(1+0.75*(E516/E517)^2)</f>
        <v>48.840713414045794</v>
      </c>
      <c r="F515" s="57">
        <f t="shared" si="308"/>
        <v>48.840713414045794</v>
      </c>
      <c r="G515" s="57">
        <f t="shared" si="308"/>
        <v>48.840713414045794</v>
      </c>
      <c r="H515" s="57">
        <f t="shared" si="308"/>
        <v>48.840713414045794</v>
      </c>
      <c r="I515" s="57">
        <f t="shared" si="308"/>
        <v>48.840713414045794</v>
      </c>
      <c r="J515" s="57">
        <f t="shared" si="308"/>
        <v>48.840713414045794</v>
      </c>
      <c r="K515" s="57">
        <f t="shared" si="308"/>
        <v>48.840713414045794</v>
      </c>
      <c r="L515" s="57">
        <f t="shared" si="308"/>
        <v>48.840713414045794</v>
      </c>
      <c r="M515" s="57">
        <f t="shared" si="308"/>
        <v>48.840713414045794</v>
      </c>
      <c r="N515" s="41"/>
      <c r="O515" s="43"/>
      <c r="P515" s="20" t="s">
        <v>536</v>
      </c>
    </row>
    <row r="516" spans="1:16" ht="15" hidden="1" customHeight="1" outlineLevel="1" x14ac:dyDescent="0.25">
      <c r="A516" s="21"/>
      <c r="C516" s="1" t="s">
        <v>200</v>
      </c>
      <c r="D516" s="41"/>
      <c r="E516" s="61">
        <f t="shared" ref="E516:M516" si="309">E35</f>
        <v>560</v>
      </c>
      <c r="F516" s="61">
        <f t="shared" si="309"/>
        <v>560</v>
      </c>
      <c r="G516" s="61">
        <f t="shared" si="309"/>
        <v>560</v>
      </c>
      <c r="H516" s="61">
        <f t="shared" si="309"/>
        <v>560</v>
      </c>
      <c r="I516" s="61">
        <f t="shared" si="309"/>
        <v>560</v>
      </c>
      <c r="J516" s="61">
        <f t="shared" si="309"/>
        <v>560</v>
      </c>
      <c r="K516" s="61">
        <f t="shared" si="309"/>
        <v>560</v>
      </c>
      <c r="L516" s="61">
        <f t="shared" si="309"/>
        <v>560</v>
      </c>
      <c r="M516" s="61">
        <f t="shared" si="309"/>
        <v>560</v>
      </c>
      <c r="N516" s="41"/>
      <c r="O516" s="43" t="s">
        <v>0</v>
      </c>
      <c r="P516" s="20" t="s">
        <v>536</v>
      </c>
    </row>
    <row r="517" spans="1:16" ht="15" hidden="1" customHeight="1" outlineLevel="1" x14ac:dyDescent="0.25">
      <c r="A517" s="21"/>
      <c r="C517" s="21" t="s">
        <v>11</v>
      </c>
      <c r="E517" s="7">
        <f t="shared" ref="E517:M517" si="310">E37</f>
        <v>6000</v>
      </c>
      <c r="F517" s="7">
        <f t="shared" si="310"/>
        <v>6000</v>
      </c>
      <c r="G517" s="7">
        <f t="shared" si="310"/>
        <v>6000</v>
      </c>
      <c r="H517" s="7">
        <f t="shared" si="310"/>
        <v>6000</v>
      </c>
      <c r="I517" s="7">
        <f t="shared" si="310"/>
        <v>6000</v>
      </c>
      <c r="J517" s="7">
        <f t="shared" si="310"/>
        <v>6000</v>
      </c>
      <c r="K517" s="7">
        <f t="shared" si="310"/>
        <v>6000</v>
      </c>
      <c r="L517" s="7">
        <f t="shared" si="310"/>
        <v>6000</v>
      </c>
      <c r="M517" s="7">
        <f t="shared" si="310"/>
        <v>6000</v>
      </c>
      <c r="O517" s="43" t="s">
        <v>0</v>
      </c>
      <c r="P517" s="20" t="s">
        <v>536</v>
      </c>
    </row>
    <row r="518" spans="1:16" ht="15" hidden="1" customHeight="1" outlineLevel="1" x14ac:dyDescent="0.25">
      <c r="A518" s="21"/>
      <c r="C518" s="1" t="s">
        <v>7</v>
      </c>
      <c r="D518" s="41"/>
      <c r="E518" s="11">
        <f t="shared" ref="E518:M518" si="311">E34</f>
        <v>16</v>
      </c>
      <c r="F518" s="11">
        <f t="shared" si="311"/>
        <v>16</v>
      </c>
      <c r="G518" s="11">
        <f t="shared" si="311"/>
        <v>16</v>
      </c>
      <c r="H518" s="11">
        <f t="shared" si="311"/>
        <v>16</v>
      </c>
      <c r="I518" s="11">
        <f t="shared" si="311"/>
        <v>16</v>
      </c>
      <c r="J518" s="11">
        <f t="shared" si="311"/>
        <v>16</v>
      </c>
      <c r="K518" s="11">
        <f t="shared" si="311"/>
        <v>16</v>
      </c>
      <c r="L518" s="11">
        <f t="shared" si="311"/>
        <v>16</v>
      </c>
      <c r="M518" s="11">
        <f t="shared" si="311"/>
        <v>16</v>
      </c>
      <c r="N518" s="41"/>
      <c r="O518" s="43" t="s">
        <v>0</v>
      </c>
      <c r="P518" s="20" t="s">
        <v>536</v>
      </c>
    </row>
    <row r="519" spans="1:16" ht="15" customHeight="1" collapsed="1" x14ac:dyDescent="0.25">
      <c r="A519" s="21"/>
      <c r="C519" s="21"/>
    </row>
    <row r="520" spans="1:16" ht="15" customHeight="1" x14ac:dyDescent="0.25">
      <c r="C520" s="21"/>
    </row>
    <row r="521" spans="1:16" ht="15" customHeight="1" x14ac:dyDescent="0.3">
      <c r="A521" s="37" t="s">
        <v>466</v>
      </c>
      <c r="C521" s="1"/>
      <c r="D521" s="59"/>
      <c r="E521" s="60"/>
      <c r="F521" s="60"/>
      <c r="G521" s="60"/>
      <c r="H521" s="60"/>
      <c r="I521" s="60"/>
      <c r="J521" s="60"/>
      <c r="K521" s="60"/>
      <c r="L521" s="60"/>
      <c r="M521" s="60"/>
      <c r="N521" s="59"/>
      <c r="O521" s="38"/>
      <c r="P521" s="20" t="s">
        <v>500</v>
      </c>
    </row>
    <row r="522" spans="1:16" ht="15" hidden="1" customHeight="1" outlineLevel="1" x14ac:dyDescent="0.25">
      <c r="A522" s="38"/>
      <c r="C522" s="1"/>
      <c r="D522" s="41"/>
      <c r="E522" s="61"/>
      <c r="F522" s="61"/>
      <c r="G522" s="61"/>
      <c r="H522" s="61"/>
      <c r="I522" s="61"/>
      <c r="J522" s="61"/>
      <c r="K522" s="61"/>
      <c r="L522" s="61"/>
      <c r="M522" s="61"/>
      <c r="N522" s="41"/>
      <c r="O522" s="43"/>
      <c r="P522" s="1"/>
    </row>
    <row r="523" spans="1:16" ht="15" hidden="1" customHeight="1" outlineLevel="1" x14ac:dyDescent="0.25">
      <c r="A523" s="39" t="s">
        <v>172</v>
      </c>
      <c r="C523" s="1"/>
      <c r="D523" s="41"/>
      <c r="E523" s="58"/>
      <c r="F523" s="58"/>
      <c r="G523" s="58"/>
      <c r="H523" s="58"/>
      <c r="I523" s="58"/>
      <c r="J523" s="58"/>
      <c r="K523" s="58"/>
      <c r="L523" s="58"/>
      <c r="M523" s="58"/>
      <c r="N523" s="41"/>
      <c r="O523" s="43"/>
      <c r="P523" s="20" t="s">
        <v>541</v>
      </c>
    </row>
    <row r="524" spans="1:16" ht="15" hidden="1" customHeight="1" outlineLevel="1" x14ac:dyDescent="0.25">
      <c r="A524" s="38"/>
      <c r="B524" s="43" t="s">
        <v>59</v>
      </c>
      <c r="C524" s="1"/>
      <c r="D524" s="41"/>
      <c r="E524" s="57">
        <f t="shared" ref="E524:M524" si="312">SQRT(E525/E526)*E527/E528/(1+(E527*E529/E530/E531)^2)^(1/4)</f>
        <v>59.016155788775741</v>
      </c>
      <c r="F524" s="57">
        <f t="shared" si="312"/>
        <v>59.016155788775741</v>
      </c>
      <c r="G524" s="57">
        <f t="shared" si="312"/>
        <v>59.016155788775741</v>
      </c>
      <c r="H524" s="57">
        <f t="shared" si="312"/>
        <v>59.016155788775741</v>
      </c>
      <c r="I524" s="57">
        <f t="shared" si="312"/>
        <v>59.016155788775741</v>
      </c>
      <c r="J524" s="57">
        <f t="shared" si="312"/>
        <v>59.016155788775741</v>
      </c>
      <c r="K524" s="57">
        <f t="shared" si="312"/>
        <v>59.016155788775741</v>
      </c>
      <c r="L524" s="57">
        <f t="shared" si="312"/>
        <v>59.016155788775741</v>
      </c>
      <c r="M524" s="57">
        <f t="shared" si="312"/>
        <v>59.016155788775741</v>
      </c>
      <c r="N524" s="41"/>
      <c r="O524" s="43"/>
      <c r="P524" s="20" t="s">
        <v>541</v>
      </c>
    </row>
    <row r="525" spans="1:16" ht="15" hidden="1" customHeight="1" outlineLevel="1" x14ac:dyDescent="0.25">
      <c r="A525" s="38"/>
      <c r="C525" s="1" t="s">
        <v>42</v>
      </c>
      <c r="D525" s="41"/>
      <c r="E525" s="11">
        <f t="shared" ref="E525:M525" si="313">E38</f>
        <v>1.4</v>
      </c>
      <c r="F525" s="11">
        <f t="shared" si="313"/>
        <v>1.4</v>
      </c>
      <c r="G525" s="11">
        <f t="shared" si="313"/>
        <v>1.4</v>
      </c>
      <c r="H525" s="11">
        <f t="shared" si="313"/>
        <v>1.4</v>
      </c>
      <c r="I525" s="11">
        <f t="shared" si="313"/>
        <v>1.4</v>
      </c>
      <c r="J525" s="11">
        <f t="shared" si="313"/>
        <v>1.4</v>
      </c>
      <c r="K525" s="11">
        <f t="shared" si="313"/>
        <v>1.4</v>
      </c>
      <c r="L525" s="11">
        <f t="shared" si="313"/>
        <v>1.4</v>
      </c>
      <c r="M525" s="11">
        <f t="shared" si="313"/>
        <v>1.4</v>
      </c>
      <c r="N525" s="41"/>
      <c r="O525" s="43"/>
      <c r="P525" s="20" t="s">
        <v>494</v>
      </c>
    </row>
    <row r="526" spans="1:16" ht="15" hidden="1" customHeight="1" outlineLevel="1" x14ac:dyDescent="0.25">
      <c r="A526" s="38"/>
      <c r="C526" s="1" t="s">
        <v>169</v>
      </c>
      <c r="D526" s="41"/>
      <c r="E526" s="11">
        <f t="shared" ref="E526:M526" si="314">E39</f>
        <v>1</v>
      </c>
      <c r="F526" s="11">
        <f t="shared" si="314"/>
        <v>1</v>
      </c>
      <c r="G526" s="11">
        <f t="shared" si="314"/>
        <v>1</v>
      </c>
      <c r="H526" s="11">
        <f t="shared" si="314"/>
        <v>1</v>
      </c>
      <c r="I526" s="11">
        <f t="shared" si="314"/>
        <v>1</v>
      </c>
      <c r="J526" s="11">
        <f t="shared" si="314"/>
        <v>1</v>
      </c>
      <c r="K526" s="11">
        <f t="shared" si="314"/>
        <v>1</v>
      </c>
      <c r="L526" s="11">
        <f t="shared" si="314"/>
        <v>1</v>
      </c>
      <c r="M526" s="11">
        <f t="shared" si="314"/>
        <v>1</v>
      </c>
      <c r="N526" s="41"/>
      <c r="O526" s="43"/>
      <c r="P526" s="20" t="s">
        <v>494</v>
      </c>
    </row>
    <row r="527" spans="1:16" ht="15" hidden="1" customHeight="1" outlineLevel="1" x14ac:dyDescent="0.25">
      <c r="A527" s="38"/>
      <c r="C527" s="1" t="s">
        <v>4</v>
      </c>
      <c r="D527" s="41"/>
      <c r="E527" s="61">
        <f t="shared" ref="E527:M527" si="315">E36</f>
        <v>2700</v>
      </c>
      <c r="F527" s="61">
        <f t="shared" si="315"/>
        <v>2700</v>
      </c>
      <c r="G527" s="61">
        <f t="shared" si="315"/>
        <v>2700</v>
      </c>
      <c r="H527" s="61">
        <f t="shared" si="315"/>
        <v>2700</v>
      </c>
      <c r="I527" s="61">
        <f t="shared" si="315"/>
        <v>2700</v>
      </c>
      <c r="J527" s="61">
        <f t="shared" si="315"/>
        <v>2700</v>
      </c>
      <c r="K527" s="61">
        <f t="shared" si="315"/>
        <v>2700</v>
      </c>
      <c r="L527" s="61">
        <f t="shared" si="315"/>
        <v>2700</v>
      </c>
      <c r="M527" s="61">
        <f t="shared" si="315"/>
        <v>2700</v>
      </c>
      <c r="N527" s="41"/>
      <c r="O527" s="43" t="s">
        <v>0</v>
      </c>
      <c r="P527" s="20" t="s">
        <v>498</v>
      </c>
    </row>
    <row r="528" spans="1:16" ht="15" hidden="1" customHeight="1" outlineLevel="1" x14ac:dyDescent="0.25">
      <c r="A528" s="38"/>
      <c r="C528" s="1" t="s">
        <v>170</v>
      </c>
      <c r="D528" s="41"/>
      <c r="E528" s="61">
        <f t="shared" ref="E528:M528" si="316">E81</f>
        <v>52.508026310310115</v>
      </c>
      <c r="F528" s="61">
        <f t="shared" si="316"/>
        <v>52.508026310310115</v>
      </c>
      <c r="G528" s="61">
        <f t="shared" si="316"/>
        <v>52.508026310310115</v>
      </c>
      <c r="H528" s="61">
        <f t="shared" si="316"/>
        <v>52.508026310310115</v>
      </c>
      <c r="I528" s="61">
        <f t="shared" si="316"/>
        <v>52.508026310310115</v>
      </c>
      <c r="J528" s="61">
        <f t="shared" si="316"/>
        <v>52.508026310310115</v>
      </c>
      <c r="K528" s="61">
        <f t="shared" si="316"/>
        <v>52.508026310310115</v>
      </c>
      <c r="L528" s="61">
        <f t="shared" si="316"/>
        <v>52.508026310310115</v>
      </c>
      <c r="M528" s="61">
        <f t="shared" si="316"/>
        <v>52.508026310310115</v>
      </c>
      <c r="N528" s="41"/>
      <c r="O528" s="43" t="s">
        <v>0</v>
      </c>
      <c r="P528" s="1"/>
    </row>
    <row r="529" spans="1:16" ht="15" hidden="1" customHeight="1" outlineLevel="1" x14ac:dyDescent="0.25">
      <c r="A529" s="38"/>
      <c r="C529" s="1" t="s">
        <v>2</v>
      </c>
      <c r="D529" s="41"/>
      <c r="E529" s="11">
        <f t="shared" ref="E529:M529" si="317">E30</f>
        <v>20</v>
      </c>
      <c r="F529" s="11">
        <f t="shared" si="317"/>
        <v>20</v>
      </c>
      <c r="G529" s="11">
        <f t="shared" si="317"/>
        <v>20</v>
      </c>
      <c r="H529" s="11">
        <f t="shared" si="317"/>
        <v>20</v>
      </c>
      <c r="I529" s="11">
        <f t="shared" si="317"/>
        <v>20</v>
      </c>
      <c r="J529" s="11">
        <f t="shared" si="317"/>
        <v>20</v>
      </c>
      <c r="K529" s="11">
        <f t="shared" si="317"/>
        <v>20</v>
      </c>
      <c r="L529" s="11">
        <f t="shared" si="317"/>
        <v>20</v>
      </c>
      <c r="M529" s="11">
        <f t="shared" si="317"/>
        <v>20</v>
      </c>
      <c r="N529" s="41"/>
      <c r="O529" s="43" t="s">
        <v>0</v>
      </c>
      <c r="P529" s="1"/>
    </row>
    <row r="530" spans="1:16" ht="15" hidden="1" customHeight="1" outlineLevel="1" x14ac:dyDescent="0.25">
      <c r="A530" s="38"/>
      <c r="C530" s="1" t="s">
        <v>17</v>
      </c>
      <c r="D530" s="41"/>
      <c r="E530" s="61">
        <f t="shared" ref="E530:M530" si="318">E31</f>
        <v>250</v>
      </c>
      <c r="F530" s="61">
        <f t="shared" si="318"/>
        <v>250</v>
      </c>
      <c r="G530" s="61">
        <f t="shared" si="318"/>
        <v>250</v>
      </c>
      <c r="H530" s="61">
        <f t="shared" si="318"/>
        <v>250</v>
      </c>
      <c r="I530" s="61">
        <f t="shared" si="318"/>
        <v>250</v>
      </c>
      <c r="J530" s="61">
        <f t="shared" si="318"/>
        <v>250</v>
      </c>
      <c r="K530" s="61">
        <f t="shared" si="318"/>
        <v>250</v>
      </c>
      <c r="L530" s="61">
        <f t="shared" si="318"/>
        <v>250</v>
      </c>
      <c r="M530" s="61">
        <f t="shared" si="318"/>
        <v>250</v>
      </c>
      <c r="N530" s="41"/>
      <c r="O530" s="43" t="s">
        <v>0</v>
      </c>
      <c r="P530" s="1"/>
    </row>
    <row r="531" spans="1:16" ht="15" hidden="1" customHeight="1" outlineLevel="1" x14ac:dyDescent="0.25">
      <c r="A531" s="38"/>
      <c r="C531" s="1" t="s">
        <v>22</v>
      </c>
      <c r="D531" s="41"/>
      <c r="E531" s="61">
        <f t="shared" ref="E531:M531" si="319">E29</f>
        <v>600</v>
      </c>
      <c r="F531" s="61">
        <f t="shared" si="319"/>
        <v>600</v>
      </c>
      <c r="G531" s="61">
        <f t="shared" si="319"/>
        <v>600</v>
      </c>
      <c r="H531" s="61">
        <f t="shared" si="319"/>
        <v>600</v>
      </c>
      <c r="I531" s="61">
        <f t="shared" si="319"/>
        <v>600</v>
      </c>
      <c r="J531" s="61">
        <f t="shared" si="319"/>
        <v>600</v>
      </c>
      <c r="K531" s="61">
        <f t="shared" si="319"/>
        <v>600</v>
      </c>
      <c r="L531" s="61">
        <f t="shared" si="319"/>
        <v>600</v>
      </c>
      <c r="M531" s="61">
        <f t="shared" si="319"/>
        <v>600</v>
      </c>
      <c r="N531" s="41"/>
      <c r="O531" s="43" t="s">
        <v>0</v>
      </c>
      <c r="P531" s="1"/>
    </row>
    <row r="532" spans="1:16" ht="15" hidden="1" customHeight="1" outlineLevel="1" x14ac:dyDescent="0.25">
      <c r="A532" s="38"/>
      <c r="C532" s="1"/>
      <c r="D532" s="41"/>
      <c r="E532" s="61"/>
      <c r="F532" s="61"/>
      <c r="G532" s="61"/>
      <c r="H532" s="61"/>
      <c r="I532" s="61"/>
      <c r="J532" s="61"/>
      <c r="K532" s="61"/>
      <c r="L532" s="61"/>
      <c r="M532" s="61"/>
      <c r="N532" s="41"/>
      <c r="O532" s="43"/>
      <c r="P532" s="1"/>
    </row>
    <row r="533" spans="1:16" ht="15" hidden="1" customHeight="1" outlineLevel="1" x14ac:dyDescent="0.25">
      <c r="A533" s="39" t="s">
        <v>188</v>
      </c>
      <c r="C533" s="1"/>
      <c r="D533" s="41"/>
      <c r="E533" s="58"/>
      <c r="F533" s="58"/>
      <c r="G533" s="58"/>
      <c r="H533" s="58"/>
      <c r="I533" s="58"/>
      <c r="J533" s="58"/>
      <c r="K533" s="58"/>
      <c r="L533" s="58"/>
      <c r="M533" s="58"/>
      <c r="N533" s="41"/>
      <c r="O533" s="43"/>
      <c r="P533" s="20" t="s">
        <v>189</v>
      </c>
    </row>
    <row r="534" spans="1:16" ht="15" hidden="1" customHeight="1" outlineLevel="1" x14ac:dyDescent="0.25">
      <c r="A534" s="38"/>
      <c r="B534" s="43" t="s">
        <v>231</v>
      </c>
      <c r="C534" s="1"/>
      <c r="D534" s="41"/>
      <c r="E534" s="40">
        <f t="shared" ref="E534:M534" si="320">SQRT(E535/(SQRT(E537/E536)*E540))</f>
        <v>0.80706115502698605</v>
      </c>
      <c r="F534" s="40">
        <f t="shared" si="320"/>
        <v>0.80706115502698605</v>
      </c>
      <c r="G534" s="40">
        <f t="shared" si="320"/>
        <v>0.80706115502698605</v>
      </c>
      <c r="H534" s="40">
        <f t="shared" si="320"/>
        <v>0.79773551149448063</v>
      </c>
      <c r="I534" s="40">
        <f t="shared" si="320"/>
        <v>0.79773551149448063</v>
      </c>
      <c r="J534" s="40">
        <f t="shared" si="320"/>
        <v>0.79773551149448063</v>
      </c>
      <c r="K534" s="40">
        <f t="shared" si="320"/>
        <v>0.79773551149448063</v>
      </c>
      <c r="L534" s="40">
        <f t="shared" si="320"/>
        <v>0.54036034053591997</v>
      </c>
      <c r="M534" s="40">
        <f t="shared" si="320"/>
        <v>0.54036034053591997</v>
      </c>
      <c r="N534" s="41"/>
      <c r="O534" s="43"/>
      <c r="P534" s="20" t="s">
        <v>192</v>
      </c>
    </row>
    <row r="535" spans="1:16" ht="15" hidden="1" customHeight="1" outlineLevel="1" x14ac:dyDescent="0.25">
      <c r="A535" s="38"/>
      <c r="B535" s="43" t="s">
        <v>193</v>
      </c>
      <c r="C535" s="1"/>
      <c r="D535" s="41"/>
      <c r="E535" s="57">
        <f t="shared" ref="E535:J535" si="321">E538*E539/10^6</f>
        <v>839.69113697332796</v>
      </c>
      <c r="F535" s="57">
        <f t="shared" si="321"/>
        <v>839.69113697332796</v>
      </c>
      <c r="G535" s="57">
        <f t="shared" si="321"/>
        <v>839.69113697332796</v>
      </c>
      <c r="H535" s="57">
        <f t="shared" si="321"/>
        <v>820.39788197974872</v>
      </c>
      <c r="I535" s="57">
        <f t="shared" si="321"/>
        <v>820.39788197974872</v>
      </c>
      <c r="J535" s="57">
        <f t="shared" si="321"/>
        <v>820.39788197974872</v>
      </c>
      <c r="K535" s="57">
        <f>K538*K539/10^6</f>
        <v>820.39788197974872</v>
      </c>
      <c r="L535" s="57">
        <f>L538*L539/10^6</f>
        <v>376.42079999999999</v>
      </c>
      <c r="M535" s="57">
        <f>M538*M539/10^6</f>
        <v>376.42079999999999</v>
      </c>
      <c r="N535" s="41"/>
      <c r="O535" s="43" t="s">
        <v>6</v>
      </c>
      <c r="P535" s="20" t="s">
        <v>194</v>
      </c>
    </row>
    <row r="536" spans="1:16" ht="15" hidden="1" customHeight="1" outlineLevel="1" x14ac:dyDescent="0.25">
      <c r="A536" s="38"/>
      <c r="C536" s="1" t="s">
        <v>42</v>
      </c>
      <c r="D536" s="41"/>
      <c r="E536" s="11">
        <f t="shared" ref="E536:M536" si="322">E38</f>
        <v>1.4</v>
      </c>
      <c r="F536" s="11">
        <f t="shared" si="322"/>
        <v>1.4</v>
      </c>
      <c r="G536" s="11">
        <f t="shared" si="322"/>
        <v>1.4</v>
      </c>
      <c r="H536" s="11">
        <f t="shared" si="322"/>
        <v>1.4</v>
      </c>
      <c r="I536" s="11">
        <f t="shared" si="322"/>
        <v>1.4</v>
      </c>
      <c r="J536" s="11">
        <f t="shared" si="322"/>
        <v>1.4</v>
      </c>
      <c r="K536" s="11">
        <f t="shared" si="322"/>
        <v>1.4</v>
      </c>
      <c r="L536" s="11">
        <f t="shared" si="322"/>
        <v>1.4</v>
      </c>
      <c r="M536" s="11">
        <f t="shared" si="322"/>
        <v>1.4</v>
      </c>
      <c r="N536" s="41"/>
      <c r="O536" s="43"/>
      <c r="P536" s="20" t="s">
        <v>494</v>
      </c>
    </row>
    <row r="537" spans="1:16" ht="15" hidden="1" customHeight="1" outlineLevel="1" x14ac:dyDescent="0.25">
      <c r="A537" s="38"/>
      <c r="C537" s="1" t="s">
        <v>169</v>
      </c>
      <c r="D537" s="41"/>
      <c r="E537" s="11">
        <f t="shared" ref="E537:M537" si="323">E39</f>
        <v>1</v>
      </c>
      <c r="F537" s="11">
        <f t="shared" si="323"/>
        <v>1</v>
      </c>
      <c r="G537" s="11">
        <f t="shared" si="323"/>
        <v>1</v>
      </c>
      <c r="H537" s="11">
        <f t="shared" si="323"/>
        <v>1</v>
      </c>
      <c r="I537" s="11">
        <f t="shared" si="323"/>
        <v>1</v>
      </c>
      <c r="J537" s="11">
        <f t="shared" si="323"/>
        <v>1</v>
      </c>
      <c r="K537" s="11">
        <f t="shared" si="323"/>
        <v>1</v>
      </c>
      <c r="L537" s="11">
        <f t="shared" si="323"/>
        <v>1</v>
      </c>
      <c r="M537" s="11">
        <f t="shared" si="323"/>
        <v>1</v>
      </c>
      <c r="N537" s="41"/>
      <c r="O537" s="43"/>
      <c r="P537" s="20" t="s">
        <v>494</v>
      </c>
    </row>
    <row r="538" spans="1:16" ht="15" hidden="1" customHeight="1" outlineLevel="1" x14ac:dyDescent="0.25">
      <c r="A538" s="38"/>
      <c r="C538" s="1" t="s">
        <v>167</v>
      </c>
      <c r="D538" s="41"/>
      <c r="E538" s="48">
        <f t="shared" ref="E538:M538" si="324">MIN(E78:E79)</f>
        <v>3584960</v>
      </c>
      <c r="F538" s="48">
        <f t="shared" si="324"/>
        <v>3584960</v>
      </c>
      <c r="G538" s="48">
        <f t="shared" si="324"/>
        <v>3584960</v>
      </c>
      <c r="H538" s="48">
        <f t="shared" si="324"/>
        <v>3584960</v>
      </c>
      <c r="I538" s="48">
        <f t="shared" si="324"/>
        <v>3584960</v>
      </c>
      <c r="J538" s="48">
        <f t="shared" si="324"/>
        <v>3584960</v>
      </c>
      <c r="K538" s="48">
        <f t="shared" si="324"/>
        <v>3584960</v>
      </c>
      <c r="L538" s="48">
        <f t="shared" si="324"/>
        <v>3584960</v>
      </c>
      <c r="M538" s="48">
        <f t="shared" si="324"/>
        <v>3584960</v>
      </c>
      <c r="N538" s="41"/>
      <c r="O538" s="43" t="s">
        <v>234</v>
      </c>
      <c r="P538" s="1"/>
    </row>
    <row r="539" spans="1:16" ht="15" hidden="1" customHeight="1" outlineLevel="1" x14ac:dyDescent="0.25">
      <c r="A539" s="38"/>
      <c r="C539" s="1" t="s">
        <v>44</v>
      </c>
      <c r="D539" s="41"/>
      <c r="E539" s="57">
        <f t="shared" ref="E539:J539" si="325">E411</f>
        <v>234.22608257088726</v>
      </c>
      <c r="F539" s="57">
        <f t="shared" si="325"/>
        <v>234.22608257088726</v>
      </c>
      <c r="G539" s="57">
        <f t="shared" si="325"/>
        <v>234.22608257088726</v>
      </c>
      <c r="H539" s="57">
        <f t="shared" si="325"/>
        <v>228.84436143771444</v>
      </c>
      <c r="I539" s="57">
        <f t="shared" si="325"/>
        <v>228.84436143771444</v>
      </c>
      <c r="J539" s="57">
        <f t="shared" si="325"/>
        <v>228.84436143771444</v>
      </c>
      <c r="K539" s="57">
        <f>K411</f>
        <v>228.84436143771444</v>
      </c>
      <c r="L539" s="57">
        <f>L411</f>
        <v>105</v>
      </c>
      <c r="M539" s="57">
        <f>M411</f>
        <v>105</v>
      </c>
      <c r="N539" s="41"/>
      <c r="O539" s="43" t="s">
        <v>8</v>
      </c>
      <c r="P539" s="20" t="s">
        <v>523</v>
      </c>
    </row>
    <row r="540" spans="1:16" ht="15" hidden="1" customHeight="1" outlineLevel="1" x14ac:dyDescent="0.25">
      <c r="A540" s="38"/>
      <c r="B540" s="43" t="s">
        <v>232</v>
      </c>
      <c r="C540" s="1"/>
      <c r="D540" s="41"/>
      <c r="E540" s="57">
        <f t="shared" ref="E540:M540" si="326">PI()/E541*(SQRT(E542*E544*E543*E545+(PI()/E541)^2*E542*E544*E542*E546+(E547*PI()*E542*E544/E541)^2)+E547*PI()*E542*E544/E541)/10^6</f>
        <v>1525.3541845120105</v>
      </c>
      <c r="F540" s="57">
        <f t="shared" si="326"/>
        <v>1525.3541845120105</v>
      </c>
      <c r="G540" s="57">
        <f t="shared" si="326"/>
        <v>1525.3541845120105</v>
      </c>
      <c r="H540" s="57">
        <f t="shared" si="326"/>
        <v>1525.3541845120105</v>
      </c>
      <c r="I540" s="57">
        <f t="shared" si="326"/>
        <v>1525.3541845120105</v>
      </c>
      <c r="J540" s="57">
        <f t="shared" si="326"/>
        <v>1525.3541845120105</v>
      </c>
      <c r="K540" s="57">
        <f t="shared" si="326"/>
        <v>1525.3541845120105</v>
      </c>
      <c r="L540" s="57">
        <f t="shared" si="326"/>
        <v>1525.3541845120105</v>
      </c>
      <c r="M540" s="57">
        <f t="shared" si="326"/>
        <v>1525.3541845120105</v>
      </c>
      <c r="N540" s="41"/>
      <c r="O540" s="43" t="s">
        <v>6</v>
      </c>
      <c r="P540" s="20" t="s">
        <v>196</v>
      </c>
    </row>
    <row r="541" spans="1:16" ht="15" hidden="1" customHeight="1" outlineLevel="1" x14ac:dyDescent="0.25">
      <c r="A541" s="38"/>
      <c r="C541" s="1" t="s">
        <v>4</v>
      </c>
      <c r="D541" s="41"/>
      <c r="E541" s="61">
        <f t="shared" ref="E541:M541" si="327">E36</f>
        <v>2700</v>
      </c>
      <c r="F541" s="61">
        <f t="shared" si="327"/>
        <v>2700</v>
      </c>
      <c r="G541" s="61">
        <f t="shared" si="327"/>
        <v>2700</v>
      </c>
      <c r="H541" s="61">
        <f t="shared" si="327"/>
        <v>2700</v>
      </c>
      <c r="I541" s="61">
        <f t="shared" si="327"/>
        <v>2700</v>
      </c>
      <c r="J541" s="61">
        <f t="shared" si="327"/>
        <v>2700</v>
      </c>
      <c r="K541" s="61">
        <f t="shared" si="327"/>
        <v>2700</v>
      </c>
      <c r="L541" s="61">
        <f t="shared" si="327"/>
        <v>2700</v>
      </c>
      <c r="M541" s="61">
        <f t="shared" si="327"/>
        <v>2700</v>
      </c>
      <c r="N541" s="41"/>
      <c r="O541" s="43" t="s">
        <v>0</v>
      </c>
      <c r="P541" s="20" t="s">
        <v>498</v>
      </c>
    </row>
    <row r="542" spans="1:16" ht="15" hidden="1" customHeight="1" outlineLevel="1" x14ac:dyDescent="0.25">
      <c r="A542" s="38"/>
      <c r="C542" s="1" t="s">
        <v>30</v>
      </c>
      <c r="D542" s="41"/>
      <c r="E542" s="61">
        <f t="shared" ref="E542:M542" si="328">E25</f>
        <v>70000</v>
      </c>
      <c r="F542" s="61">
        <f t="shared" si="328"/>
        <v>70000</v>
      </c>
      <c r="G542" s="61">
        <f t="shared" si="328"/>
        <v>70000</v>
      </c>
      <c r="H542" s="61">
        <f t="shared" si="328"/>
        <v>70000</v>
      </c>
      <c r="I542" s="61">
        <f t="shared" si="328"/>
        <v>70000</v>
      </c>
      <c r="J542" s="61">
        <f t="shared" si="328"/>
        <v>70000</v>
      </c>
      <c r="K542" s="61">
        <f t="shared" si="328"/>
        <v>70000</v>
      </c>
      <c r="L542" s="61">
        <f t="shared" si="328"/>
        <v>70000</v>
      </c>
      <c r="M542" s="61">
        <f t="shared" si="328"/>
        <v>70000</v>
      </c>
      <c r="N542" s="41"/>
      <c r="O542" s="43" t="s">
        <v>8</v>
      </c>
      <c r="P542" s="20" t="s">
        <v>497</v>
      </c>
    </row>
    <row r="543" spans="1:16" ht="15" hidden="1" customHeight="1" outlineLevel="1" x14ac:dyDescent="0.25">
      <c r="A543" s="38"/>
      <c r="C543" s="1" t="s">
        <v>195</v>
      </c>
      <c r="D543" s="41"/>
      <c r="E543" s="61">
        <f t="shared" ref="E543:M543" si="329">E26</f>
        <v>26000</v>
      </c>
      <c r="F543" s="61">
        <f t="shared" si="329"/>
        <v>26000</v>
      </c>
      <c r="G543" s="61">
        <f t="shared" si="329"/>
        <v>26000</v>
      </c>
      <c r="H543" s="61">
        <f t="shared" si="329"/>
        <v>26000</v>
      </c>
      <c r="I543" s="61">
        <f t="shared" si="329"/>
        <v>26000</v>
      </c>
      <c r="J543" s="61">
        <f t="shared" si="329"/>
        <v>26000</v>
      </c>
      <c r="K543" s="61">
        <f t="shared" si="329"/>
        <v>26000</v>
      </c>
      <c r="L543" s="61">
        <f t="shared" si="329"/>
        <v>26000</v>
      </c>
      <c r="M543" s="61">
        <f t="shared" si="329"/>
        <v>26000</v>
      </c>
      <c r="N543" s="41"/>
      <c r="O543" s="43" t="s">
        <v>8</v>
      </c>
      <c r="P543" s="20" t="s">
        <v>497</v>
      </c>
    </row>
    <row r="544" spans="1:16" ht="15" hidden="1" customHeight="1" outlineLevel="1" x14ac:dyDescent="0.25">
      <c r="A544" s="38"/>
      <c r="C544" s="1" t="s">
        <v>33</v>
      </c>
      <c r="D544" s="41"/>
      <c r="E544" s="48">
        <f t="shared" ref="E544:M544" si="330">E80</f>
        <v>52274480</v>
      </c>
      <c r="F544" s="48">
        <f t="shared" si="330"/>
        <v>52274480</v>
      </c>
      <c r="G544" s="48">
        <f t="shared" si="330"/>
        <v>52274480</v>
      </c>
      <c r="H544" s="48">
        <f t="shared" si="330"/>
        <v>52274480</v>
      </c>
      <c r="I544" s="48">
        <f t="shared" si="330"/>
        <v>52274480</v>
      </c>
      <c r="J544" s="48">
        <f t="shared" si="330"/>
        <v>52274480</v>
      </c>
      <c r="K544" s="48">
        <f t="shared" si="330"/>
        <v>52274480</v>
      </c>
      <c r="L544" s="48">
        <f t="shared" si="330"/>
        <v>52274480</v>
      </c>
      <c r="M544" s="48">
        <f t="shared" si="330"/>
        <v>52274480</v>
      </c>
      <c r="N544" s="41"/>
      <c r="O544" s="20" t="s">
        <v>373</v>
      </c>
    </row>
    <row r="545" spans="1:16" ht="15" hidden="1" customHeight="1" outlineLevel="1" x14ac:dyDescent="0.25">
      <c r="A545" s="38"/>
      <c r="C545" s="1" t="s">
        <v>151</v>
      </c>
      <c r="D545" s="41"/>
      <c r="E545" s="48">
        <f t="shared" ref="E545:M545" si="331">E84</f>
        <v>2097920</v>
      </c>
      <c r="F545" s="48">
        <f t="shared" si="331"/>
        <v>2097920</v>
      </c>
      <c r="G545" s="48">
        <f t="shared" si="331"/>
        <v>2097920</v>
      </c>
      <c r="H545" s="48">
        <f t="shared" si="331"/>
        <v>2097920</v>
      </c>
      <c r="I545" s="48">
        <f t="shared" si="331"/>
        <v>2097920</v>
      </c>
      <c r="J545" s="48">
        <f t="shared" si="331"/>
        <v>2097920</v>
      </c>
      <c r="K545" s="48">
        <f t="shared" si="331"/>
        <v>2097920</v>
      </c>
      <c r="L545" s="48">
        <f t="shared" si="331"/>
        <v>2097920</v>
      </c>
      <c r="M545" s="48">
        <f t="shared" si="331"/>
        <v>2097920</v>
      </c>
      <c r="N545" s="41"/>
      <c r="O545" s="20" t="s">
        <v>373</v>
      </c>
      <c r="P545" s="20" t="s">
        <v>158</v>
      </c>
    </row>
    <row r="546" spans="1:16" ht="15" hidden="1" customHeight="1" outlineLevel="1" x14ac:dyDescent="0.25">
      <c r="A546" s="38"/>
      <c r="C546" s="1" t="s">
        <v>156</v>
      </c>
      <c r="D546" s="41"/>
      <c r="E546" s="48">
        <f t="shared" ref="E546:M546" si="332">E89</f>
        <v>4380208333333.333</v>
      </c>
      <c r="F546" s="48">
        <f t="shared" si="332"/>
        <v>4380208333333.333</v>
      </c>
      <c r="G546" s="48">
        <f t="shared" si="332"/>
        <v>4380208333333.333</v>
      </c>
      <c r="H546" s="48">
        <f t="shared" si="332"/>
        <v>4380208333333.333</v>
      </c>
      <c r="I546" s="48">
        <f t="shared" si="332"/>
        <v>4380208333333.333</v>
      </c>
      <c r="J546" s="48">
        <f t="shared" si="332"/>
        <v>4380208333333.333</v>
      </c>
      <c r="K546" s="48">
        <f t="shared" si="332"/>
        <v>4380208333333.333</v>
      </c>
      <c r="L546" s="48">
        <f t="shared" si="332"/>
        <v>4380208333333.333</v>
      </c>
      <c r="M546" s="48">
        <f t="shared" si="332"/>
        <v>4380208333333.333</v>
      </c>
      <c r="N546" s="41"/>
      <c r="O546" s="20" t="s">
        <v>374</v>
      </c>
      <c r="P546" s="20" t="s">
        <v>160</v>
      </c>
    </row>
    <row r="547" spans="1:16" ht="15" hidden="1" customHeight="1" outlineLevel="1" x14ac:dyDescent="0.25">
      <c r="A547" s="38"/>
      <c r="C547" s="1" t="s">
        <v>157</v>
      </c>
      <c r="D547" s="41"/>
      <c r="E547" s="61">
        <f t="shared" ref="E547:M547" si="333">E90</f>
        <v>0</v>
      </c>
      <c r="F547" s="61">
        <f t="shared" si="333"/>
        <v>0</v>
      </c>
      <c r="G547" s="61">
        <f t="shared" si="333"/>
        <v>0</v>
      </c>
      <c r="H547" s="61">
        <f t="shared" si="333"/>
        <v>0</v>
      </c>
      <c r="I547" s="61">
        <f t="shared" si="333"/>
        <v>0</v>
      </c>
      <c r="J547" s="61">
        <f t="shared" si="333"/>
        <v>0</v>
      </c>
      <c r="K547" s="61">
        <f t="shared" si="333"/>
        <v>0</v>
      </c>
      <c r="L547" s="61">
        <f t="shared" si="333"/>
        <v>0</v>
      </c>
      <c r="M547" s="61">
        <f t="shared" si="333"/>
        <v>0</v>
      </c>
      <c r="N547" s="41"/>
      <c r="O547" s="43" t="s">
        <v>0</v>
      </c>
      <c r="P547" s="20" t="s">
        <v>190</v>
      </c>
    </row>
    <row r="548" spans="1:16" ht="15" customHeight="1" collapsed="1" x14ac:dyDescent="0.25">
      <c r="A548" s="38"/>
      <c r="C548" s="21"/>
    </row>
    <row r="549" spans="1:16" ht="15" customHeight="1" x14ac:dyDescent="0.25">
      <c r="A549" s="38"/>
      <c r="C549" s="21"/>
    </row>
    <row r="550" spans="1:16" ht="15" customHeight="1" x14ac:dyDescent="0.25">
      <c r="A550" s="38"/>
      <c r="C550" s="21"/>
    </row>
    <row r="551" spans="1:16" ht="15" customHeight="1" x14ac:dyDescent="0.25">
      <c r="A551" s="38"/>
      <c r="C551" s="21"/>
    </row>
    <row r="552" spans="1:16" ht="15" customHeight="1" x14ac:dyDescent="0.25">
      <c r="A552" s="38"/>
      <c r="C552" s="21"/>
    </row>
    <row r="553" spans="1:16" ht="15" customHeight="1" x14ac:dyDescent="0.25">
      <c r="A553" s="38"/>
    </row>
    <row r="554" spans="1:16" ht="15" customHeight="1" x14ac:dyDescent="0.25">
      <c r="A554" s="38"/>
    </row>
  </sheetData>
  <phoneticPr fontId="9" type="noConversion"/>
  <printOptions gridLines="1"/>
  <pageMargins left="0.39370078740157483" right="0.39370078740157483" top="0.39370078740157483" bottom="0.39370078740157483" header="0.31496062992125984" footer="0.31496062992125984"/>
  <pageSetup paperSize="120" scale="44" fitToHeight="20" orientation="landscape" horizontalDpi="1200" verticalDpi="1200"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5E7BE3-C48C-45A4-8F3B-39535DBFB5FF}">
  <sheetPr>
    <pageSetUpPr fitToPage="1"/>
  </sheetPr>
  <dimension ref="K1:AY114"/>
  <sheetViews>
    <sheetView tabSelected="1" topLeftCell="AJ1" zoomScaleNormal="100" workbookViewId="0">
      <selection activeCell="M30" sqref="M30"/>
    </sheetView>
  </sheetViews>
  <sheetFormatPr baseColWidth="10" defaultColWidth="11.453125" defaultRowHeight="15" customHeight="1" x14ac:dyDescent="0.25"/>
  <cols>
    <col min="1" max="1" width="11.453125" style="2" customWidth="1"/>
    <col min="2" max="14" width="11.453125" style="2"/>
    <col min="15" max="15" width="11.453125" style="2" customWidth="1"/>
    <col min="16" max="30" width="11.453125" style="2"/>
    <col min="31" max="31" width="2.81640625" style="33" customWidth="1"/>
    <col min="32" max="32" width="15.26953125" style="2" bestFit="1" customWidth="1"/>
    <col min="33" max="33" width="11.453125" style="2"/>
    <col min="34" max="39" width="11.453125" style="5"/>
    <col min="40" max="40" width="2.81640625" style="33" customWidth="1"/>
    <col min="41" max="49" width="11.453125" style="2"/>
    <col min="50" max="50" width="2.81640625" style="33" customWidth="1"/>
    <col min="51" max="51" width="11.453125" style="5"/>
    <col min="52" max="16384" width="11.453125" style="2"/>
  </cols>
  <sheetData>
    <row r="1" spans="31:51" ht="15" customHeight="1" x14ac:dyDescent="0.25">
      <c r="AE1" s="30"/>
      <c r="AF1" s="27"/>
      <c r="AG1" s="27" t="s">
        <v>357</v>
      </c>
      <c r="AN1" s="30"/>
      <c r="AO1" s="27" t="s">
        <v>358</v>
      </c>
      <c r="AP1" s="29" t="s">
        <v>359</v>
      </c>
      <c r="AQ1" s="69" t="s">
        <v>360</v>
      </c>
      <c r="AR1" s="73" t="s">
        <v>361</v>
      </c>
      <c r="AS1" s="73" t="s">
        <v>362</v>
      </c>
      <c r="AT1" s="73" t="s">
        <v>363</v>
      </c>
      <c r="AU1" s="73" t="s">
        <v>364</v>
      </c>
      <c r="AV1" s="73" t="s">
        <v>365</v>
      </c>
      <c r="AW1" s="73" t="s">
        <v>366</v>
      </c>
      <c r="AX1" s="30"/>
      <c r="AY1" s="2"/>
    </row>
    <row r="2" spans="31:51" ht="15" customHeight="1" x14ac:dyDescent="0.25">
      <c r="AE2" s="30"/>
      <c r="AF2" s="30"/>
      <c r="AG2" s="30"/>
      <c r="AH2" s="32"/>
      <c r="AI2" s="32"/>
      <c r="AJ2" s="32"/>
      <c r="AK2" s="32"/>
      <c r="AL2" s="32"/>
      <c r="AM2" s="32"/>
      <c r="AN2" s="30"/>
      <c r="AO2" s="30"/>
      <c r="AP2" s="30"/>
      <c r="AQ2" s="30"/>
      <c r="AR2" s="30"/>
      <c r="AS2" s="30"/>
      <c r="AT2" s="30"/>
      <c r="AU2" s="30"/>
      <c r="AV2" s="30"/>
      <c r="AW2" s="30"/>
      <c r="AX2" s="30"/>
      <c r="AY2" s="2"/>
    </row>
    <row r="3" spans="31:51" ht="15" customHeight="1" x14ac:dyDescent="0.25">
      <c r="AE3" s="30"/>
      <c r="AF3" s="27" t="s">
        <v>317</v>
      </c>
      <c r="AH3" s="82" t="s">
        <v>314</v>
      </c>
      <c r="AI3" s="82"/>
      <c r="AJ3" s="82"/>
      <c r="AK3" s="82"/>
      <c r="AL3" s="82"/>
      <c r="AM3" s="82"/>
      <c r="AN3" s="30"/>
      <c r="AO3" s="27"/>
      <c r="AP3" s="69"/>
      <c r="AQ3" s="69"/>
      <c r="AR3" s="70"/>
      <c r="AS3" s="70"/>
      <c r="AT3" s="73"/>
      <c r="AU3" s="73"/>
      <c r="AV3" s="73"/>
      <c r="AW3" s="73"/>
      <c r="AX3" s="30"/>
      <c r="AY3" s="2"/>
    </row>
    <row r="4" spans="31:51" ht="15" customHeight="1" x14ac:dyDescent="0.25">
      <c r="AE4" s="30"/>
      <c r="AF4" s="27" t="s">
        <v>269</v>
      </c>
      <c r="AG4" s="24" cm="1">
        <f t="array" ref="AG4">INDEX(AO26:AW26,1,$M$30)*$M$31</f>
        <v>20</v>
      </c>
      <c r="AH4" s="27" t="s">
        <v>312</v>
      </c>
      <c r="AI4" s="27" t="s">
        <v>28</v>
      </c>
      <c r="AJ4" s="27" t="s">
        <v>315</v>
      </c>
      <c r="AK4" s="27">
        <f>MAX(2*AG6+AG7,2*AG10+AG11,SUM(AG18:AG23)+AG4+AG8)</f>
        <v>600</v>
      </c>
      <c r="AL4" s="27"/>
      <c r="AM4" s="27"/>
      <c r="AN4" s="30"/>
      <c r="AO4" s="24"/>
      <c r="AP4" s="24"/>
      <c r="AQ4" s="24"/>
      <c r="AR4" s="24"/>
      <c r="AS4" s="24"/>
      <c r="AT4" s="24"/>
      <c r="AU4" s="24"/>
      <c r="AV4" s="24"/>
      <c r="AW4" s="24"/>
      <c r="AX4" s="30"/>
      <c r="AY4" s="2"/>
    </row>
    <row r="5" spans="31:51" ht="15" customHeight="1" x14ac:dyDescent="0.25">
      <c r="AE5" s="30"/>
      <c r="AF5" s="27" t="s">
        <v>270</v>
      </c>
      <c r="AG5" s="24" cm="1">
        <f t="array" ref="AG5">INDEX(AO27:AW27,1,$M$30)*$M$31</f>
        <v>20</v>
      </c>
      <c r="AH5" s="25">
        <v>0</v>
      </c>
      <c r="AI5" s="25">
        <f>-AG8-50</f>
        <v>-70</v>
      </c>
      <c r="AJ5" s="25"/>
      <c r="AK5" s="25"/>
      <c r="AL5" s="25"/>
      <c r="AM5" s="25"/>
      <c r="AN5" s="30"/>
      <c r="AO5" s="24"/>
      <c r="AP5" s="24"/>
      <c r="AQ5" s="24"/>
      <c r="AR5" s="24"/>
      <c r="AS5" s="24"/>
      <c r="AT5" s="24"/>
      <c r="AU5" s="24"/>
      <c r="AV5" s="24"/>
      <c r="AW5" s="24"/>
      <c r="AX5" s="30"/>
      <c r="AY5" s="2"/>
    </row>
    <row r="6" spans="31:51" ht="15" customHeight="1" x14ac:dyDescent="0.25">
      <c r="AE6" s="30"/>
      <c r="AF6" s="27" t="s">
        <v>271</v>
      </c>
      <c r="AG6" s="24"/>
      <c r="AH6" s="25">
        <f>-AK4/2-50</f>
        <v>-350</v>
      </c>
      <c r="AI6" s="25">
        <f>AI5</f>
        <v>-70</v>
      </c>
      <c r="AJ6" s="25"/>
      <c r="AK6" s="25"/>
      <c r="AL6" s="25"/>
      <c r="AM6" s="25"/>
      <c r="AN6" s="30"/>
      <c r="AO6" s="24"/>
      <c r="AP6" s="24"/>
      <c r="AQ6" s="24"/>
      <c r="AR6" s="24"/>
      <c r="AS6" s="24"/>
      <c r="AT6" s="24"/>
      <c r="AU6" s="24"/>
      <c r="AV6" s="24"/>
      <c r="AW6" s="24"/>
      <c r="AX6" s="30"/>
      <c r="AY6" s="2"/>
    </row>
    <row r="7" spans="31:51" ht="15" customHeight="1" x14ac:dyDescent="0.25">
      <c r="AE7" s="30"/>
      <c r="AF7" s="27" t="s">
        <v>272</v>
      </c>
      <c r="AG7" s="6" cm="1">
        <f t="array" ref="AG7">INDEX(AO29:AW29,1,$M$30)</f>
        <v>250</v>
      </c>
      <c r="AH7" s="25">
        <f>AH6</f>
        <v>-350</v>
      </c>
      <c r="AI7" s="25">
        <f>AI6+50+AK4+50</f>
        <v>630</v>
      </c>
      <c r="AJ7" s="25"/>
      <c r="AK7" s="25"/>
      <c r="AL7" s="25"/>
      <c r="AM7" s="25"/>
      <c r="AN7" s="30"/>
      <c r="AO7" s="24"/>
      <c r="AP7" s="24"/>
      <c r="AQ7" s="24"/>
      <c r="AR7" s="24"/>
      <c r="AS7" s="24"/>
      <c r="AT7" s="24"/>
      <c r="AU7" s="24"/>
      <c r="AV7" s="24"/>
      <c r="AW7" s="24"/>
      <c r="AX7" s="30"/>
      <c r="AY7" s="2"/>
    </row>
    <row r="8" spans="31:51" ht="15" customHeight="1" x14ac:dyDescent="0.25">
      <c r="AE8" s="30"/>
      <c r="AF8" s="27" t="s">
        <v>273</v>
      </c>
      <c r="AG8" s="24" cm="1">
        <f t="array" ref="AG8">INDEX(AO30:AW30,1,$M$30)*$M$31</f>
        <v>20</v>
      </c>
      <c r="AH8" s="25">
        <f>-AH7</f>
        <v>350</v>
      </c>
      <c r="AI8" s="25">
        <f>AI7</f>
        <v>630</v>
      </c>
      <c r="AJ8" s="25"/>
      <c r="AK8" s="25"/>
      <c r="AL8" s="25"/>
      <c r="AM8" s="25"/>
      <c r="AN8" s="30"/>
      <c r="AO8" s="24"/>
      <c r="AP8" s="24"/>
      <c r="AQ8" s="24"/>
      <c r="AR8" s="24"/>
      <c r="AS8" s="24"/>
      <c r="AT8" s="24"/>
      <c r="AU8" s="24"/>
      <c r="AV8" s="24"/>
      <c r="AW8" s="24"/>
      <c r="AX8" s="30"/>
      <c r="AY8" s="2"/>
    </row>
    <row r="9" spans="31:51" ht="15" customHeight="1" x14ac:dyDescent="0.25">
      <c r="AE9" s="30"/>
      <c r="AF9" s="27" t="s">
        <v>274</v>
      </c>
      <c r="AG9" s="24" cm="1">
        <f t="array" ref="AG9">INDEX(AO31:AW31,1,$M$30)*$M$31</f>
        <v>20</v>
      </c>
      <c r="AH9" s="25">
        <f>AH8</f>
        <v>350</v>
      </c>
      <c r="AI9" s="25">
        <f>AI5</f>
        <v>-70</v>
      </c>
      <c r="AJ9" s="25"/>
      <c r="AK9" s="25"/>
      <c r="AL9" s="25"/>
      <c r="AM9" s="25"/>
      <c r="AN9" s="30"/>
      <c r="AO9" s="24"/>
      <c r="AP9" s="24"/>
      <c r="AQ9" s="24"/>
      <c r="AR9" s="24"/>
      <c r="AS9" s="24"/>
      <c r="AT9" s="24"/>
      <c r="AU9" s="24"/>
      <c r="AV9" s="24"/>
      <c r="AW9" s="24"/>
      <c r="AX9" s="30"/>
      <c r="AY9" s="2"/>
    </row>
    <row r="10" spans="31:51" ht="15" customHeight="1" x14ac:dyDescent="0.25">
      <c r="AE10" s="30"/>
      <c r="AF10" s="27" t="s">
        <v>275</v>
      </c>
      <c r="AG10" s="24"/>
      <c r="AH10" s="25">
        <v>0</v>
      </c>
      <c r="AI10" s="25">
        <f>AI6</f>
        <v>-70</v>
      </c>
      <c r="AJ10" s="25"/>
      <c r="AK10" s="25"/>
      <c r="AL10" s="25"/>
      <c r="AM10" s="25"/>
      <c r="AN10" s="30"/>
      <c r="AO10" s="24"/>
      <c r="AP10" s="24"/>
      <c r="AQ10" s="24"/>
      <c r="AR10" s="24"/>
      <c r="AS10" s="24"/>
      <c r="AT10" s="24"/>
      <c r="AU10" s="24"/>
      <c r="AV10" s="24"/>
      <c r="AW10" s="24"/>
      <c r="AX10" s="30"/>
      <c r="AY10" s="2"/>
    </row>
    <row r="11" spans="31:51" ht="15" customHeight="1" x14ac:dyDescent="0.25">
      <c r="AE11" s="30"/>
      <c r="AF11" s="27" t="s">
        <v>276</v>
      </c>
      <c r="AG11" s="6" cm="1">
        <f t="array" ref="AG11">INDEX(AO33:AW33,1,$M$30)</f>
        <v>250</v>
      </c>
      <c r="AJ11" s="25"/>
      <c r="AK11" s="25"/>
      <c r="AL11" s="25"/>
      <c r="AM11" s="25"/>
      <c r="AN11" s="30"/>
      <c r="AO11" s="24"/>
      <c r="AP11" s="24"/>
      <c r="AQ11" s="24"/>
      <c r="AR11" s="24"/>
      <c r="AS11" s="24"/>
      <c r="AT11" s="24"/>
      <c r="AU11" s="24"/>
      <c r="AV11" s="24"/>
      <c r="AW11" s="24"/>
      <c r="AX11" s="30"/>
      <c r="AY11" s="2"/>
    </row>
    <row r="12" spans="31:51" ht="15" customHeight="1" x14ac:dyDescent="0.25">
      <c r="AE12" s="30"/>
      <c r="AF12" s="27" t="s">
        <v>277</v>
      </c>
      <c r="AG12" s="24"/>
      <c r="AJ12" s="25"/>
      <c r="AK12" s="25"/>
      <c r="AL12" s="25"/>
      <c r="AM12" s="25"/>
      <c r="AN12" s="30"/>
      <c r="AO12" s="24"/>
      <c r="AP12" s="24"/>
      <c r="AQ12" s="24"/>
      <c r="AR12" s="24"/>
      <c r="AS12" s="24"/>
      <c r="AT12" s="24"/>
      <c r="AU12" s="24"/>
      <c r="AV12" s="24"/>
      <c r="AW12" s="24"/>
      <c r="AX12" s="30"/>
      <c r="AY12" s="2"/>
    </row>
    <row r="13" spans="31:51" ht="15" customHeight="1" x14ac:dyDescent="0.25">
      <c r="AE13" s="30"/>
      <c r="AF13" s="27" t="s">
        <v>278</v>
      </c>
      <c r="AG13" s="24"/>
      <c r="AH13" s="25"/>
      <c r="AI13" s="25"/>
      <c r="AJ13" s="25"/>
      <c r="AK13" s="25"/>
      <c r="AL13" s="25"/>
      <c r="AM13" s="25"/>
      <c r="AN13" s="30"/>
      <c r="AO13" s="24"/>
      <c r="AP13" s="24"/>
      <c r="AQ13" s="24"/>
      <c r="AR13" s="24"/>
      <c r="AS13" s="24"/>
      <c r="AT13" s="24"/>
      <c r="AU13" s="24"/>
      <c r="AV13" s="24"/>
      <c r="AW13" s="24"/>
      <c r="AX13" s="30"/>
      <c r="AY13" s="2"/>
    </row>
    <row r="14" spans="31:51" ht="15" customHeight="1" x14ac:dyDescent="0.25">
      <c r="AE14" s="30"/>
      <c r="AF14" s="27" t="s">
        <v>279</v>
      </c>
      <c r="AG14" s="24" cm="1">
        <f t="array" ref="AG14">INDEX(AO36:AW36,1,$M$30)*$M$31</f>
        <v>16</v>
      </c>
      <c r="AH14" s="25"/>
      <c r="AI14" s="25"/>
      <c r="AJ14" s="25"/>
      <c r="AK14" s="25"/>
      <c r="AL14" s="25"/>
      <c r="AM14" s="25"/>
      <c r="AN14" s="30"/>
      <c r="AO14" s="24"/>
      <c r="AP14" s="24"/>
      <c r="AQ14" s="24"/>
      <c r="AR14" s="24"/>
      <c r="AS14" s="24"/>
      <c r="AT14" s="24"/>
      <c r="AU14" s="24"/>
      <c r="AV14" s="24"/>
      <c r="AW14" s="24"/>
      <c r="AX14" s="30"/>
      <c r="AY14" s="2"/>
    </row>
    <row r="15" spans="31:51" ht="15" customHeight="1" x14ac:dyDescent="0.25">
      <c r="AE15" s="30"/>
      <c r="AF15" s="27" t="s">
        <v>280</v>
      </c>
      <c r="AG15" s="24"/>
      <c r="AH15" s="25"/>
      <c r="AI15" s="25"/>
      <c r="AJ15" s="25"/>
      <c r="AK15" s="25"/>
      <c r="AL15" s="25"/>
      <c r="AM15" s="25"/>
      <c r="AN15" s="30"/>
      <c r="AO15" s="24"/>
      <c r="AP15" s="24"/>
      <c r="AQ15" s="24"/>
      <c r="AR15" s="24"/>
      <c r="AS15" s="24"/>
      <c r="AT15" s="24"/>
      <c r="AU15" s="24"/>
      <c r="AV15" s="24"/>
      <c r="AW15" s="24"/>
      <c r="AX15" s="30"/>
      <c r="AY15" s="2"/>
    </row>
    <row r="16" spans="31:51" ht="15" customHeight="1" x14ac:dyDescent="0.25">
      <c r="AE16" s="30"/>
      <c r="AF16" s="27" t="s">
        <v>281</v>
      </c>
      <c r="AG16" s="24"/>
      <c r="AH16" s="25"/>
      <c r="AI16" s="25"/>
      <c r="AJ16" s="25"/>
      <c r="AK16" s="25"/>
      <c r="AL16" s="25"/>
      <c r="AM16" s="25"/>
      <c r="AN16" s="30"/>
      <c r="AO16" s="24"/>
      <c r="AP16" s="24"/>
      <c r="AQ16" s="24"/>
      <c r="AR16" s="24"/>
      <c r="AS16" s="24"/>
      <c r="AT16" s="24"/>
      <c r="AU16" s="24"/>
      <c r="AV16" s="24"/>
      <c r="AW16" s="24"/>
      <c r="AX16" s="30"/>
      <c r="AY16" s="2"/>
    </row>
    <row r="17" spans="11:51" ht="15" customHeight="1" x14ac:dyDescent="0.25">
      <c r="AE17" s="30"/>
      <c r="AF17" s="75" t="s">
        <v>416</v>
      </c>
      <c r="AG17" s="24"/>
      <c r="AH17" s="25"/>
      <c r="AI17" s="25"/>
      <c r="AJ17" s="25"/>
      <c r="AK17" s="25"/>
      <c r="AL17" s="25"/>
      <c r="AM17" s="25"/>
      <c r="AN17" s="30"/>
      <c r="AO17" s="24"/>
      <c r="AP17" s="24"/>
      <c r="AQ17" s="24"/>
      <c r="AR17" s="24"/>
      <c r="AS17" s="24"/>
      <c r="AT17" s="24"/>
      <c r="AU17" s="24"/>
      <c r="AV17" s="24"/>
      <c r="AW17" s="24"/>
      <c r="AX17" s="30"/>
      <c r="AY17" s="2"/>
    </row>
    <row r="18" spans="11:51" ht="15" customHeight="1" x14ac:dyDescent="0.25">
      <c r="AE18" s="30"/>
      <c r="AF18" s="27" t="s">
        <v>282</v>
      </c>
      <c r="AG18" s="24"/>
      <c r="AH18" s="25"/>
      <c r="AI18" s="25"/>
      <c r="AJ18" s="25"/>
      <c r="AK18" s="25"/>
      <c r="AL18" s="25"/>
      <c r="AM18" s="25"/>
      <c r="AN18" s="30"/>
      <c r="AO18" s="24"/>
      <c r="AP18" s="24"/>
      <c r="AQ18" s="24"/>
      <c r="AR18" s="24"/>
      <c r="AS18" s="24"/>
      <c r="AT18" s="24"/>
      <c r="AU18" s="24"/>
      <c r="AV18" s="24"/>
      <c r="AW18" s="24"/>
      <c r="AX18" s="30"/>
      <c r="AY18" s="2"/>
    </row>
    <row r="19" spans="11:51" ht="15" customHeight="1" x14ac:dyDescent="0.25">
      <c r="AE19" s="30"/>
      <c r="AF19" s="27" t="s">
        <v>283</v>
      </c>
      <c r="AG19" s="24"/>
      <c r="AH19" s="25"/>
      <c r="AI19" s="25"/>
      <c r="AJ19" s="25"/>
      <c r="AK19" s="25"/>
      <c r="AL19" s="25"/>
      <c r="AM19" s="25"/>
      <c r="AN19" s="30"/>
      <c r="AO19" s="24"/>
      <c r="AP19" s="24"/>
      <c r="AQ19" s="24"/>
      <c r="AR19" s="24"/>
      <c r="AS19" s="24"/>
      <c r="AT19" s="24"/>
      <c r="AU19" s="24"/>
      <c r="AV19" s="24"/>
      <c r="AW19" s="24"/>
      <c r="AX19" s="30"/>
      <c r="AY19" s="2"/>
    </row>
    <row r="20" spans="11:51" ht="15" customHeight="1" x14ac:dyDescent="0.25">
      <c r="AE20" s="30"/>
      <c r="AF20" s="27" t="s">
        <v>284</v>
      </c>
      <c r="AG20" s="6" cm="1">
        <f t="array" ref="AG20">INDEX(AO42:AW42,1,$M$30)</f>
        <v>560</v>
      </c>
      <c r="AH20" s="25"/>
      <c r="AI20" s="25"/>
      <c r="AJ20" s="25"/>
      <c r="AK20" s="25"/>
      <c r="AL20" s="25"/>
      <c r="AM20" s="25"/>
      <c r="AN20" s="30"/>
      <c r="AO20" s="24"/>
      <c r="AP20" s="24"/>
      <c r="AQ20" s="24"/>
      <c r="AR20" s="24"/>
      <c r="AS20" s="24"/>
      <c r="AT20" s="24"/>
      <c r="AU20" s="24"/>
      <c r="AV20" s="24"/>
      <c r="AW20" s="24"/>
      <c r="AX20" s="30"/>
      <c r="AY20" s="2"/>
    </row>
    <row r="21" spans="11:51" ht="15" customHeight="1" x14ac:dyDescent="0.25">
      <c r="AE21" s="30"/>
      <c r="AF21" s="27" t="s">
        <v>285</v>
      </c>
      <c r="AG21" s="24"/>
      <c r="AH21" s="25"/>
      <c r="AI21" s="25"/>
      <c r="AJ21" s="25"/>
      <c r="AK21" s="25"/>
      <c r="AL21" s="25"/>
      <c r="AM21" s="25"/>
      <c r="AN21" s="30"/>
      <c r="AO21" s="24"/>
      <c r="AP21" s="24"/>
      <c r="AQ21" s="24"/>
      <c r="AR21" s="24"/>
      <c r="AS21" s="24"/>
      <c r="AT21" s="24"/>
      <c r="AU21" s="24"/>
      <c r="AV21" s="24"/>
      <c r="AW21" s="24"/>
      <c r="AX21" s="30"/>
      <c r="AY21" s="2"/>
    </row>
    <row r="22" spans="11:51" ht="15" customHeight="1" x14ac:dyDescent="0.25">
      <c r="AE22" s="30"/>
      <c r="AF22" s="75" t="s">
        <v>286</v>
      </c>
      <c r="AG22" s="24"/>
      <c r="AH22" s="25"/>
      <c r="AI22" s="25"/>
      <c r="AJ22" s="25"/>
      <c r="AK22" s="25"/>
      <c r="AL22" s="25"/>
      <c r="AM22" s="25"/>
      <c r="AN22" s="30"/>
      <c r="AO22" s="24"/>
      <c r="AP22" s="24"/>
      <c r="AQ22" s="24"/>
      <c r="AR22" s="24"/>
      <c r="AS22" s="24"/>
      <c r="AT22" s="24"/>
      <c r="AU22" s="24"/>
      <c r="AV22" s="24"/>
      <c r="AW22" s="24"/>
      <c r="AX22" s="30"/>
      <c r="AY22" s="2"/>
    </row>
    <row r="23" spans="11:51" ht="15" customHeight="1" x14ac:dyDescent="0.25">
      <c r="AE23" s="30"/>
      <c r="AF23" s="27" t="s">
        <v>419</v>
      </c>
      <c r="AG23" s="24"/>
      <c r="AH23" s="25"/>
      <c r="AI23" s="25"/>
      <c r="AJ23" s="25"/>
      <c r="AK23" s="25"/>
      <c r="AL23" s="25"/>
      <c r="AM23" s="25"/>
      <c r="AN23" s="30"/>
      <c r="AO23" s="24"/>
      <c r="AP23" s="24"/>
      <c r="AQ23" s="24"/>
      <c r="AR23" s="24"/>
      <c r="AS23" s="24"/>
      <c r="AT23" s="24"/>
      <c r="AU23" s="24"/>
      <c r="AV23" s="24"/>
      <c r="AW23" s="24"/>
      <c r="AX23" s="30"/>
      <c r="AY23" s="2"/>
    </row>
    <row r="24" spans="11:51" ht="15" customHeight="1" x14ac:dyDescent="0.25">
      <c r="AE24" s="30"/>
      <c r="AF24" s="30"/>
      <c r="AG24" s="30"/>
      <c r="AH24" s="31"/>
      <c r="AI24" s="31"/>
      <c r="AJ24" s="31"/>
      <c r="AK24" s="31"/>
      <c r="AL24" s="31"/>
      <c r="AM24" s="31"/>
      <c r="AN24" s="30"/>
      <c r="AO24" s="30"/>
      <c r="AP24" s="30"/>
      <c r="AQ24" s="30"/>
      <c r="AR24" s="30"/>
      <c r="AS24" s="30"/>
      <c r="AT24" s="30"/>
      <c r="AU24" s="30"/>
      <c r="AV24" s="30"/>
      <c r="AW24" s="30"/>
      <c r="AX24" s="30"/>
      <c r="AY24" s="2"/>
    </row>
    <row r="25" spans="11:51" ht="15" customHeight="1" x14ac:dyDescent="0.25">
      <c r="AE25" s="30"/>
      <c r="AF25" s="27" t="s">
        <v>317</v>
      </c>
      <c r="AG25" s="27"/>
      <c r="AH25" s="82" t="s">
        <v>313</v>
      </c>
      <c r="AI25" s="82"/>
      <c r="AJ25" s="82" t="s">
        <v>9</v>
      </c>
      <c r="AK25" s="82"/>
      <c r="AL25" s="82" t="s">
        <v>388</v>
      </c>
      <c r="AM25" s="82"/>
      <c r="AN25" s="30"/>
      <c r="AO25" s="27"/>
      <c r="AP25" s="75"/>
      <c r="AQ25" s="75"/>
      <c r="AR25" s="75"/>
      <c r="AS25" s="75"/>
      <c r="AT25" s="75"/>
      <c r="AU25" s="75"/>
      <c r="AV25" s="75"/>
      <c r="AW25" s="75"/>
      <c r="AX25" s="30"/>
      <c r="AY25" s="25"/>
    </row>
    <row r="26" spans="11:51" ht="15" customHeight="1" x14ac:dyDescent="0.25">
      <c r="AE26" s="30"/>
      <c r="AF26" s="5" t="s">
        <v>269</v>
      </c>
      <c r="AG26" s="24" cm="1">
        <f t="array" ref="AG26">IF($M$32=1,INDEX(AO26:AW26,1,$M$30),0)*$M$31</f>
        <v>20</v>
      </c>
      <c r="AH26" s="75" t="s">
        <v>312</v>
      </c>
      <c r="AI26" s="75" t="s">
        <v>28</v>
      </c>
      <c r="AJ26" s="75" t="s">
        <v>312</v>
      </c>
      <c r="AK26" s="75" t="s">
        <v>28</v>
      </c>
      <c r="AL26" s="75" t="s">
        <v>312</v>
      </c>
      <c r="AM26" s="75" t="s">
        <v>28</v>
      </c>
      <c r="AN26" s="30"/>
      <c r="AO26" s="24">
        <f>AO27</f>
        <v>20</v>
      </c>
      <c r="AP26" s="24">
        <f t="shared" ref="AP26:AW26" si="0">AP27</f>
        <v>20</v>
      </c>
      <c r="AQ26" s="24">
        <f t="shared" si="0"/>
        <v>20</v>
      </c>
      <c r="AR26" s="24">
        <f t="shared" si="0"/>
        <v>20</v>
      </c>
      <c r="AS26" s="24">
        <f t="shared" si="0"/>
        <v>20</v>
      </c>
      <c r="AT26" s="24">
        <f t="shared" si="0"/>
        <v>20</v>
      </c>
      <c r="AU26" s="24">
        <f t="shared" si="0"/>
        <v>20</v>
      </c>
      <c r="AV26" s="24">
        <f t="shared" si="0"/>
        <v>20</v>
      </c>
      <c r="AW26" s="24">
        <f t="shared" si="0"/>
        <v>20</v>
      </c>
      <c r="AX26" s="30"/>
      <c r="AY26" s="25"/>
    </row>
    <row r="27" spans="11:51" ht="15" customHeight="1" x14ac:dyDescent="0.25">
      <c r="AE27" s="30"/>
      <c r="AF27" s="5" t="s">
        <v>270</v>
      </c>
      <c r="AG27" s="24" cm="1">
        <f t="array" ref="AG27">IF($M$32=1,INDEX(AO27:AW27,1,$M$30),0)*$M$31</f>
        <v>20</v>
      </c>
      <c r="AH27" s="25">
        <v>0</v>
      </c>
      <c r="AI27" s="25">
        <f>AK41+(AG26-AG27)/2</f>
        <v>560</v>
      </c>
      <c r="AJ27" s="25">
        <v>0</v>
      </c>
      <c r="AK27" s="25">
        <v>0</v>
      </c>
      <c r="AL27" s="25">
        <v>0</v>
      </c>
      <c r="AM27" s="25">
        <f>-(AG26-AG27)/2</f>
        <v>0</v>
      </c>
      <c r="AN27" s="30"/>
      <c r="AO27" s="24">
        <f>Calculs!E30</f>
        <v>20</v>
      </c>
      <c r="AP27" s="24">
        <f>Calculs!F30</f>
        <v>20</v>
      </c>
      <c r="AQ27" s="24">
        <f>Calculs!G30</f>
        <v>20</v>
      </c>
      <c r="AR27" s="24">
        <f>Calculs!H30</f>
        <v>20</v>
      </c>
      <c r="AS27" s="24">
        <f>Calculs!I30</f>
        <v>20</v>
      </c>
      <c r="AT27" s="24">
        <f>Calculs!J30</f>
        <v>20</v>
      </c>
      <c r="AU27" s="24">
        <f>Calculs!K30</f>
        <v>20</v>
      </c>
      <c r="AV27" s="24">
        <f>Calculs!L30</f>
        <v>20</v>
      </c>
      <c r="AW27" s="24">
        <f>Calculs!M30</f>
        <v>20</v>
      </c>
      <c r="AX27" s="30"/>
      <c r="AY27" s="2"/>
    </row>
    <row r="28" spans="11:51" ht="15" customHeight="1" x14ac:dyDescent="0.25">
      <c r="N28" s="28" t="s">
        <v>353</v>
      </c>
      <c r="AE28" s="30"/>
      <c r="AF28" s="5" t="s">
        <v>271</v>
      </c>
      <c r="AG28" s="24"/>
      <c r="AH28" s="25">
        <f>-AG29/2</f>
        <v>-125</v>
      </c>
      <c r="AI28" s="25">
        <f>AI27</f>
        <v>560</v>
      </c>
      <c r="AJ28" s="25">
        <f>-AG39/2</f>
        <v>0</v>
      </c>
      <c r="AK28" s="25">
        <v>0</v>
      </c>
      <c r="AL28" s="25">
        <f>-AG33/2</f>
        <v>-125</v>
      </c>
      <c r="AM28" s="25">
        <f>AM27</f>
        <v>0</v>
      </c>
      <c r="AN28" s="30"/>
      <c r="AO28" s="24"/>
      <c r="AP28" s="24"/>
      <c r="AQ28" s="24"/>
      <c r="AR28" s="24"/>
      <c r="AS28" s="24"/>
      <c r="AT28" s="24"/>
      <c r="AU28" s="24"/>
      <c r="AV28" s="24"/>
      <c r="AW28" s="24"/>
      <c r="AX28" s="30"/>
      <c r="AY28" s="2"/>
    </row>
    <row r="29" spans="11:51" ht="15" customHeight="1" x14ac:dyDescent="0.25">
      <c r="AE29" s="30"/>
      <c r="AF29" s="5" t="s">
        <v>272</v>
      </c>
      <c r="AG29" s="6" cm="1">
        <f t="array" ref="AG29">IF($M$32=1,INDEX(AO29:AW29,1,$M$30),0)</f>
        <v>250</v>
      </c>
      <c r="AH29" s="25">
        <f>AH28</f>
        <v>-125</v>
      </c>
      <c r="AI29" s="25">
        <f>IF(AG28=0,AI28,AK40)</f>
        <v>560</v>
      </c>
      <c r="AJ29" s="25">
        <f>AJ28</f>
        <v>0</v>
      </c>
      <c r="AK29" s="25">
        <f>AK28+AG45</f>
        <v>0</v>
      </c>
      <c r="AL29" s="25">
        <f>AL28</f>
        <v>-125</v>
      </c>
      <c r="AM29" s="25">
        <f>IF(AG32=0,AM28,0)</f>
        <v>0</v>
      </c>
      <c r="AN29" s="30"/>
      <c r="AO29" s="6">
        <f>Calculs!E31</f>
        <v>250</v>
      </c>
      <c r="AP29" s="6">
        <f>Calculs!F31</f>
        <v>250</v>
      </c>
      <c r="AQ29" s="6">
        <f>Calculs!G31</f>
        <v>250</v>
      </c>
      <c r="AR29" s="6">
        <f>Calculs!H31</f>
        <v>250</v>
      </c>
      <c r="AS29" s="6">
        <f>Calculs!I31</f>
        <v>250</v>
      </c>
      <c r="AT29" s="6">
        <f>Calculs!J31</f>
        <v>250</v>
      </c>
      <c r="AU29" s="6">
        <f>Calculs!K31</f>
        <v>250</v>
      </c>
      <c r="AV29" s="6">
        <f>Calculs!L31</f>
        <v>250</v>
      </c>
      <c r="AW29" s="6">
        <f>Calculs!M31</f>
        <v>250</v>
      </c>
      <c r="AX29" s="30"/>
      <c r="AY29" s="2"/>
    </row>
    <row r="30" spans="11:51" ht="15" customHeight="1" x14ac:dyDescent="0.25">
      <c r="K30" s="2" t="s">
        <v>356</v>
      </c>
      <c r="M30" s="3">
        <v>1</v>
      </c>
      <c r="N30" s="2" t="s">
        <v>367</v>
      </c>
      <c r="AE30" s="30"/>
      <c r="AF30" s="5" t="s">
        <v>273</v>
      </c>
      <c r="AG30" s="24" cm="1">
        <f t="array" ref="AG30">IF($M$32=1,INDEX(AO30:AW30,1,$M$30),0)*$M$31</f>
        <v>20</v>
      </c>
      <c r="AH30" s="25">
        <f>AH29-AG28</f>
        <v>-125</v>
      </c>
      <c r="AI30" s="25">
        <f>AI29</f>
        <v>560</v>
      </c>
      <c r="AJ30" s="25">
        <f>-AG38/2</f>
        <v>0</v>
      </c>
      <c r="AK30" s="25">
        <f>AK29</f>
        <v>0</v>
      </c>
      <c r="AL30" s="25">
        <f>AL29-AG32</f>
        <v>-125</v>
      </c>
      <c r="AM30" s="25">
        <f>AM29</f>
        <v>0</v>
      </c>
      <c r="AN30" s="30"/>
      <c r="AO30" s="24">
        <f>AO31</f>
        <v>20</v>
      </c>
      <c r="AP30" s="24">
        <f t="shared" ref="AP30:AW30" si="1">AP31</f>
        <v>20</v>
      </c>
      <c r="AQ30" s="24">
        <f t="shared" si="1"/>
        <v>20</v>
      </c>
      <c r="AR30" s="24">
        <f t="shared" si="1"/>
        <v>20</v>
      </c>
      <c r="AS30" s="24">
        <f t="shared" si="1"/>
        <v>20</v>
      </c>
      <c r="AT30" s="24">
        <f t="shared" si="1"/>
        <v>20</v>
      </c>
      <c r="AU30" s="24">
        <f t="shared" si="1"/>
        <v>20</v>
      </c>
      <c r="AV30" s="24">
        <f t="shared" si="1"/>
        <v>20</v>
      </c>
      <c r="AW30" s="24">
        <f t="shared" si="1"/>
        <v>20</v>
      </c>
      <c r="AX30" s="30"/>
      <c r="AY30" s="2"/>
    </row>
    <row r="31" spans="11:51" ht="15" customHeight="1" x14ac:dyDescent="0.25">
      <c r="K31" s="2" t="s">
        <v>320</v>
      </c>
      <c r="M31" s="3">
        <v>1</v>
      </c>
      <c r="N31" s="2" t="s">
        <v>469</v>
      </c>
      <c r="AE31" s="30"/>
      <c r="AF31" s="5" t="s">
        <v>274</v>
      </c>
      <c r="AG31" s="24" cm="1">
        <f t="array" ref="AG31">IF($M$32=1,INDEX(AO31:AW31,1,$M$30),0)*$M$31</f>
        <v>20</v>
      </c>
      <c r="AH31" s="25">
        <f>AH30</f>
        <v>-125</v>
      </c>
      <c r="AI31" s="25">
        <f>IF(AG28=0,AI30+AG27,AI30+AG26)</f>
        <v>580</v>
      </c>
      <c r="AJ31" s="25">
        <f>AJ30</f>
        <v>0</v>
      </c>
      <c r="AK31" s="25">
        <f>AK30+AG44</f>
        <v>0</v>
      </c>
      <c r="AL31" s="25">
        <f>AL30</f>
        <v>-125</v>
      </c>
      <c r="AM31" s="25">
        <f>IF(AG32=0,AM30-AG31,-AG30)</f>
        <v>-20</v>
      </c>
      <c r="AN31" s="30"/>
      <c r="AO31" s="24">
        <f>Calculs!E32</f>
        <v>20</v>
      </c>
      <c r="AP31" s="24">
        <f>Calculs!F32</f>
        <v>20</v>
      </c>
      <c r="AQ31" s="24">
        <f>Calculs!G32</f>
        <v>20</v>
      </c>
      <c r="AR31" s="24">
        <f>Calculs!H32</f>
        <v>20</v>
      </c>
      <c r="AS31" s="24">
        <f>Calculs!I32</f>
        <v>20</v>
      </c>
      <c r="AT31" s="24">
        <f>Calculs!J32</f>
        <v>20</v>
      </c>
      <c r="AU31" s="24">
        <f>Calculs!K32</f>
        <v>20</v>
      </c>
      <c r="AV31" s="24">
        <f>Calculs!L32</f>
        <v>20</v>
      </c>
      <c r="AW31" s="24">
        <f>Calculs!M32</f>
        <v>20</v>
      </c>
      <c r="AX31" s="30"/>
      <c r="AY31" s="2"/>
    </row>
    <row r="32" spans="11:51" ht="15" customHeight="1" x14ac:dyDescent="0.25">
      <c r="K32" s="2" t="s">
        <v>317</v>
      </c>
      <c r="M32" s="26">
        <v>1</v>
      </c>
      <c r="N32" s="2" t="s">
        <v>352</v>
      </c>
      <c r="AE32" s="30"/>
      <c r="AF32" s="5" t="s">
        <v>275</v>
      </c>
      <c r="AG32" s="24"/>
      <c r="AH32" s="25">
        <f>AH29</f>
        <v>-125</v>
      </c>
      <c r="AI32" s="25">
        <f>AI31</f>
        <v>580</v>
      </c>
      <c r="AJ32" s="25">
        <f>-AG37/2</f>
        <v>0</v>
      </c>
      <c r="AK32" s="25">
        <f>AK31</f>
        <v>0</v>
      </c>
      <c r="AL32" s="25">
        <f>AL29</f>
        <v>-125</v>
      </c>
      <c r="AM32" s="25">
        <f>AM31</f>
        <v>-20</v>
      </c>
      <c r="AN32" s="30"/>
      <c r="AO32" s="24"/>
      <c r="AP32" s="24"/>
      <c r="AQ32" s="24"/>
      <c r="AR32" s="24"/>
      <c r="AS32" s="24"/>
      <c r="AT32" s="24"/>
      <c r="AU32" s="24"/>
      <c r="AV32" s="24"/>
      <c r="AW32" s="24"/>
      <c r="AX32" s="30"/>
      <c r="AY32" s="2"/>
    </row>
    <row r="33" spans="11:51" ht="15" customHeight="1" x14ac:dyDescent="0.25">
      <c r="K33" s="2" t="s">
        <v>351</v>
      </c>
      <c r="M33" s="26">
        <v>1</v>
      </c>
      <c r="N33" s="2" t="s">
        <v>352</v>
      </c>
      <c r="AE33" s="30"/>
      <c r="AF33" s="5" t="s">
        <v>276</v>
      </c>
      <c r="AG33" s="6" cm="1">
        <f t="array" ref="AG33">IF($M$32=1,INDEX(AO33:AW33,1,$M$30),0)</f>
        <v>250</v>
      </c>
      <c r="AH33" s="25">
        <f>AH28</f>
        <v>-125</v>
      </c>
      <c r="AI33" s="25">
        <f>IF(AG28=0,AI32,AI32-(AG26-AG27)/2)</f>
        <v>580</v>
      </c>
      <c r="AJ33" s="25">
        <f>AJ32</f>
        <v>0</v>
      </c>
      <c r="AK33" s="25">
        <f>AK32+AG43</f>
        <v>0</v>
      </c>
      <c r="AL33" s="25">
        <f>AL28</f>
        <v>-125</v>
      </c>
      <c r="AM33" s="25">
        <f>IF(AG32=0,AM32,AM32+(AG26-AG27)/2)</f>
        <v>-20</v>
      </c>
      <c r="AN33" s="30"/>
      <c r="AO33" s="6">
        <f>Calculs!E33</f>
        <v>250</v>
      </c>
      <c r="AP33" s="6">
        <f>Calculs!F33</f>
        <v>250</v>
      </c>
      <c r="AQ33" s="6">
        <f>Calculs!G33</f>
        <v>250</v>
      </c>
      <c r="AR33" s="6">
        <f>Calculs!H33</f>
        <v>250</v>
      </c>
      <c r="AS33" s="6">
        <f>Calculs!I33</f>
        <v>250</v>
      </c>
      <c r="AT33" s="6">
        <f>Calculs!J33</f>
        <v>250</v>
      </c>
      <c r="AU33" s="6">
        <f>Calculs!K33</f>
        <v>250</v>
      </c>
      <c r="AV33" s="6">
        <f>Calculs!L33</f>
        <v>250</v>
      </c>
      <c r="AW33" s="6">
        <f>Calculs!M33</f>
        <v>250</v>
      </c>
      <c r="AX33" s="30"/>
      <c r="AY33" s="2"/>
    </row>
    <row r="34" spans="11:51" ht="15" customHeight="1" x14ac:dyDescent="0.25">
      <c r="K34" s="2" t="s">
        <v>350</v>
      </c>
      <c r="M34" s="26">
        <v>1</v>
      </c>
      <c r="N34" s="2" t="s">
        <v>352</v>
      </c>
      <c r="AE34" s="30"/>
      <c r="AF34" s="5" t="s">
        <v>277</v>
      </c>
      <c r="AG34" s="24"/>
      <c r="AH34" s="25">
        <f>AH27</f>
        <v>0</v>
      </c>
      <c r="AI34" s="25">
        <f>AI33</f>
        <v>580</v>
      </c>
      <c r="AJ34" s="25">
        <f>-AG36/2</f>
        <v>-8</v>
      </c>
      <c r="AK34" s="25">
        <f>AK33</f>
        <v>0</v>
      </c>
      <c r="AL34" s="25">
        <f>AL27</f>
        <v>0</v>
      </c>
      <c r="AM34" s="25">
        <f>AM33</f>
        <v>-20</v>
      </c>
      <c r="AN34" s="30"/>
      <c r="AO34" s="24"/>
      <c r="AP34" s="24"/>
      <c r="AQ34" s="24"/>
      <c r="AR34" s="24"/>
      <c r="AS34" s="24"/>
      <c r="AT34" s="24"/>
      <c r="AU34" s="24"/>
      <c r="AV34" s="24"/>
      <c r="AW34" s="24"/>
      <c r="AX34" s="30"/>
      <c r="AY34" s="2"/>
    </row>
    <row r="35" spans="11:51" ht="15" customHeight="1" x14ac:dyDescent="0.25">
      <c r="AE35" s="30"/>
      <c r="AF35" s="5" t="s">
        <v>278</v>
      </c>
      <c r="AG35" s="24"/>
      <c r="AH35" s="25">
        <f>-AH33</f>
        <v>125</v>
      </c>
      <c r="AI35" s="25">
        <f>AI33</f>
        <v>580</v>
      </c>
      <c r="AJ35" s="25">
        <f>AJ34</f>
        <v>-8</v>
      </c>
      <c r="AK35" s="25">
        <f>AK34+AG42</f>
        <v>560</v>
      </c>
      <c r="AL35" s="25">
        <f>-AL33</f>
        <v>125</v>
      </c>
      <c r="AM35" s="25">
        <f>AM33</f>
        <v>-20</v>
      </c>
      <c r="AN35" s="30"/>
      <c r="AO35" s="24"/>
      <c r="AP35" s="24"/>
      <c r="AQ35" s="24"/>
      <c r="AR35" s="24"/>
      <c r="AS35" s="24"/>
      <c r="AT35" s="24"/>
      <c r="AU35" s="24"/>
      <c r="AV35" s="24"/>
      <c r="AW35" s="24"/>
      <c r="AX35" s="30"/>
      <c r="AY35" s="2"/>
    </row>
    <row r="36" spans="11:51" ht="15" customHeight="1" x14ac:dyDescent="0.25">
      <c r="AE36" s="30"/>
      <c r="AF36" s="5" t="s">
        <v>279</v>
      </c>
      <c r="AG36" s="24" cm="1">
        <f t="array" ref="AG36">IF($M$32=1,INDEX(AO36:AW36,1,$M$30),0)*$M$31</f>
        <v>16</v>
      </c>
      <c r="AH36" s="25">
        <f>-AH32</f>
        <v>125</v>
      </c>
      <c r="AI36" s="25">
        <f>AI32</f>
        <v>580</v>
      </c>
      <c r="AJ36" s="25">
        <f>-AG35/2</f>
        <v>0</v>
      </c>
      <c r="AK36" s="25">
        <f>AK35</f>
        <v>560</v>
      </c>
      <c r="AL36" s="25">
        <f>-AL32</f>
        <v>125</v>
      </c>
      <c r="AM36" s="25">
        <f>AM32</f>
        <v>-20</v>
      </c>
      <c r="AN36" s="30"/>
      <c r="AO36" s="24">
        <f>Calculs!E34</f>
        <v>16</v>
      </c>
      <c r="AP36" s="24">
        <f>Calculs!F34</f>
        <v>16</v>
      </c>
      <c r="AQ36" s="24">
        <f>Calculs!G34</f>
        <v>16</v>
      </c>
      <c r="AR36" s="24">
        <f>Calculs!H34</f>
        <v>16</v>
      </c>
      <c r="AS36" s="24">
        <f>Calculs!I34</f>
        <v>16</v>
      </c>
      <c r="AT36" s="24">
        <f>Calculs!J34</f>
        <v>16</v>
      </c>
      <c r="AU36" s="24">
        <f>Calculs!K34</f>
        <v>16</v>
      </c>
      <c r="AV36" s="24">
        <f>Calculs!L34</f>
        <v>16</v>
      </c>
      <c r="AW36" s="24">
        <f>Calculs!M34</f>
        <v>16</v>
      </c>
      <c r="AX36" s="30"/>
      <c r="AY36" s="2"/>
    </row>
    <row r="37" spans="11:51" ht="15" customHeight="1" x14ac:dyDescent="0.25">
      <c r="AE37" s="30"/>
      <c r="AF37" s="5" t="s">
        <v>280</v>
      </c>
      <c r="AG37" s="24"/>
      <c r="AH37" s="25">
        <f>-AH31</f>
        <v>125</v>
      </c>
      <c r="AI37" s="25">
        <f>AI31</f>
        <v>580</v>
      </c>
      <c r="AJ37" s="25">
        <f>AJ36</f>
        <v>0</v>
      </c>
      <c r="AK37" s="25">
        <f>AK36+AG41</f>
        <v>560</v>
      </c>
      <c r="AL37" s="25">
        <f>-AL31</f>
        <v>125</v>
      </c>
      <c r="AM37" s="25">
        <f>AM31</f>
        <v>-20</v>
      </c>
      <c r="AN37" s="30"/>
      <c r="AO37" s="24"/>
      <c r="AP37" s="24"/>
      <c r="AQ37" s="24"/>
      <c r="AR37" s="24"/>
      <c r="AS37" s="24"/>
      <c r="AT37" s="24"/>
      <c r="AU37" s="24"/>
      <c r="AV37" s="24"/>
      <c r="AW37" s="24"/>
      <c r="AX37" s="30"/>
      <c r="AY37" s="2"/>
    </row>
    <row r="38" spans="11:51" ht="15" customHeight="1" x14ac:dyDescent="0.25">
      <c r="AE38" s="30"/>
      <c r="AF38" s="5" t="s">
        <v>281</v>
      </c>
      <c r="AG38" s="24"/>
      <c r="AH38" s="25">
        <f>-AH30</f>
        <v>125</v>
      </c>
      <c r="AI38" s="25">
        <f>AI30</f>
        <v>560</v>
      </c>
      <c r="AJ38" s="25">
        <f>-AG34/2</f>
        <v>0</v>
      </c>
      <c r="AK38" s="25">
        <f>AK37</f>
        <v>560</v>
      </c>
      <c r="AL38" s="25">
        <f>-AL30</f>
        <v>125</v>
      </c>
      <c r="AM38" s="25">
        <f>AM30</f>
        <v>0</v>
      </c>
      <c r="AN38" s="30"/>
      <c r="AO38" s="24"/>
      <c r="AP38" s="24"/>
      <c r="AQ38" s="24"/>
      <c r="AR38" s="24"/>
      <c r="AS38" s="24"/>
      <c r="AT38" s="24"/>
      <c r="AU38" s="24"/>
      <c r="AV38" s="24"/>
      <c r="AW38" s="24"/>
      <c r="AX38" s="30"/>
      <c r="AY38" s="2"/>
    </row>
    <row r="39" spans="11:51" ht="15" customHeight="1" x14ac:dyDescent="0.25">
      <c r="AE39" s="30"/>
      <c r="AF39" s="75" t="s">
        <v>416</v>
      </c>
      <c r="AG39" s="24"/>
      <c r="AH39" s="25">
        <f>-AH29</f>
        <v>125</v>
      </c>
      <c r="AI39" s="25">
        <f>AI29</f>
        <v>560</v>
      </c>
      <c r="AJ39" s="25">
        <f>AJ38</f>
        <v>0</v>
      </c>
      <c r="AK39" s="25">
        <f>AK38+AG40</f>
        <v>560</v>
      </c>
      <c r="AL39" s="25">
        <f>-AL29</f>
        <v>125</v>
      </c>
      <c r="AM39" s="25">
        <f>AM29</f>
        <v>0</v>
      </c>
      <c r="AN39" s="30"/>
      <c r="AO39" s="24"/>
      <c r="AP39" s="24"/>
      <c r="AQ39" s="24"/>
      <c r="AR39" s="24"/>
      <c r="AS39" s="24"/>
      <c r="AT39" s="24"/>
      <c r="AU39" s="24"/>
      <c r="AV39" s="24"/>
      <c r="AW39" s="24"/>
      <c r="AX39" s="30"/>
      <c r="AY39" s="2"/>
    </row>
    <row r="40" spans="11:51" ht="15" customHeight="1" x14ac:dyDescent="0.25">
      <c r="AE40" s="30"/>
      <c r="AF40" s="5" t="s">
        <v>282</v>
      </c>
      <c r="AG40" s="24"/>
      <c r="AH40" s="25">
        <f>-AH28</f>
        <v>125</v>
      </c>
      <c r="AI40" s="25">
        <f>AI28</f>
        <v>560</v>
      </c>
      <c r="AJ40" s="25">
        <v>0</v>
      </c>
      <c r="AK40" s="25">
        <f>AK39</f>
        <v>560</v>
      </c>
      <c r="AL40" s="25">
        <f>-AL28</f>
        <v>125</v>
      </c>
      <c r="AM40" s="25">
        <f>AM28</f>
        <v>0</v>
      </c>
      <c r="AN40" s="30"/>
      <c r="AO40" s="24"/>
      <c r="AP40" s="24"/>
      <c r="AQ40" s="24"/>
      <c r="AR40" s="24"/>
      <c r="AS40" s="24"/>
      <c r="AT40" s="24"/>
      <c r="AU40" s="24"/>
      <c r="AV40" s="24"/>
      <c r="AW40" s="24"/>
      <c r="AX40" s="30"/>
      <c r="AY40" s="2"/>
    </row>
    <row r="41" spans="11:51" ht="15" customHeight="1" x14ac:dyDescent="0.25">
      <c r="AE41" s="30"/>
      <c r="AF41" s="5" t="s">
        <v>283</v>
      </c>
      <c r="AG41" s="24"/>
      <c r="AH41" s="25">
        <f>-AH27</f>
        <v>0</v>
      </c>
      <c r="AI41" s="25">
        <f>AI27</f>
        <v>560</v>
      </c>
      <c r="AJ41" s="25">
        <f>-AJ39</f>
        <v>0</v>
      </c>
      <c r="AK41" s="25">
        <f>AK39</f>
        <v>560</v>
      </c>
      <c r="AL41" s="25">
        <f>-AL27</f>
        <v>0</v>
      </c>
      <c r="AM41" s="25">
        <f>AM27</f>
        <v>0</v>
      </c>
      <c r="AN41" s="30"/>
      <c r="AO41" s="24"/>
      <c r="AP41" s="24"/>
      <c r="AQ41" s="24"/>
      <c r="AR41" s="24"/>
      <c r="AS41" s="24"/>
      <c r="AT41" s="24"/>
      <c r="AU41" s="24"/>
      <c r="AV41" s="24"/>
      <c r="AW41" s="24"/>
      <c r="AX41" s="30"/>
      <c r="AY41" s="2"/>
    </row>
    <row r="42" spans="11:51" ht="15" customHeight="1" x14ac:dyDescent="0.25">
      <c r="AE42" s="30"/>
      <c r="AF42" s="5" t="s">
        <v>284</v>
      </c>
      <c r="AG42" s="6" cm="1">
        <f t="array" ref="AG42">IF($M$32=1,INDEX(AO42:AW42,1,$M$30),0)</f>
        <v>560</v>
      </c>
      <c r="AH42" s="25"/>
      <c r="AI42" s="25"/>
      <c r="AJ42" s="25">
        <f>-AJ38</f>
        <v>0</v>
      </c>
      <c r="AK42" s="25">
        <f>AK38</f>
        <v>560</v>
      </c>
      <c r="AL42" s="25"/>
      <c r="AM42" s="25"/>
      <c r="AN42" s="30"/>
      <c r="AO42" s="6">
        <f>Calculs!E35</f>
        <v>560</v>
      </c>
      <c r="AP42" s="6">
        <f>Calculs!F35</f>
        <v>560</v>
      </c>
      <c r="AQ42" s="6">
        <f>Calculs!G35</f>
        <v>560</v>
      </c>
      <c r="AR42" s="6">
        <f>Calculs!H35</f>
        <v>560</v>
      </c>
      <c r="AS42" s="6">
        <f>Calculs!I35</f>
        <v>560</v>
      </c>
      <c r="AT42" s="6">
        <f>Calculs!J35</f>
        <v>560</v>
      </c>
      <c r="AU42" s="6">
        <f>Calculs!K35</f>
        <v>560</v>
      </c>
      <c r="AV42" s="6">
        <f>Calculs!L35</f>
        <v>560</v>
      </c>
      <c r="AW42" s="6">
        <f>Calculs!M35</f>
        <v>560</v>
      </c>
      <c r="AX42" s="30"/>
      <c r="AY42" s="2"/>
    </row>
    <row r="43" spans="11:51" ht="15" customHeight="1" x14ac:dyDescent="0.25">
      <c r="AE43" s="30"/>
      <c r="AF43" s="5" t="s">
        <v>285</v>
      </c>
      <c r="AG43" s="24"/>
      <c r="AH43" s="25"/>
      <c r="AI43" s="25"/>
      <c r="AJ43" s="25">
        <f>-AJ37</f>
        <v>0</v>
      </c>
      <c r="AK43" s="25">
        <f>AK37</f>
        <v>560</v>
      </c>
      <c r="AL43" s="25"/>
      <c r="AM43" s="25"/>
      <c r="AN43" s="30"/>
      <c r="AO43" s="24"/>
      <c r="AP43" s="24"/>
      <c r="AQ43" s="24"/>
      <c r="AR43" s="24"/>
      <c r="AS43" s="24"/>
      <c r="AT43" s="24"/>
      <c r="AU43" s="24"/>
      <c r="AV43" s="24"/>
      <c r="AW43" s="24"/>
      <c r="AX43" s="30"/>
      <c r="AY43" s="2"/>
    </row>
    <row r="44" spans="11:51" ht="15" customHeight="1" x14ac:dyDescent="0.25">
      <c r="AE44" s="30"/>
      <c r="AF44" s="5" t="s">
        <v>286</v>
      </c>
      <c r="AG44" s="24"/>
      <c r="AH44" s="25"/>
      <c r="AI44" s="25"/>
      <c r="AJ44" s="25">
        <f>-AJ36</f>
        <v>0</v>
      </c>
      <c r="AK44" s="25">
        <f>AK36</f>
        <v>560</v>
      </c>
      <c r="AL44" s="25"/>
      <c r="AM44" s="25"/>
      <c r="AN44" s="30"/>
      <c r="AO44" s="24"/>
      <c r="AP44" s="24"/>
      <c r="AQ44" s="24"/>
      <c r="AR44" s="24"/>
      <c r="AS44" s="24"/>
      <c r="AT44" s="24"/>
      <c r="AU44" s="24"/>
      <c r="AV44" s="24"/>
      <c r="AW44" s="24"/>
      <c r="AX44" s="30"/>
      <c r="AY44" s="2"/>
    </row>
    <row r="45" spans="11:51" ht="15" customHeight="1" x14ac:dyDescent="0.25">
      <c r="AE45" s="30"/>
      <c r="AF45" s="75" t="s">
        <v>419</v>
      </c>
      <c r="AG45" s="24"/>
      <c r="AH45" s="25"/>
      <c r="AI45" s="25"/>
      <c r="AJ45" s="25">
        <f>-AJ35</f>
        <v>8</v>
      </c>
      <c r="AK45" s="25">
        <f>AK35</f>
        <v>560</v>
      </c>
      <c r="AL45" s="25"/>
      <c r="AM45" s="25"/>
      <c r="AN45" s="30"/>
      <c r="AO45" s="24"/>
      <c r="AP45" s="24"/>
      <c r="AQ45" s="24"/>
      <c r="AR45" s="24"/>
      <c r="AS45" s="24"/>
      <c r="AT45" s="24"/>
      <c r="AU45" s="24"/>
      <c r="AV45" s="24"/>
      <c r="AW45" s="24"/>
      <c r="AX45" s="30"/>
      <c r="AY45" s="2"/>
    </row>
    <row r="46" spans="11:51" ht="15" customHeight="1" x14ac:dyDescent="0.25">
      <c r="AE46" s="30"/>
      <c r="AF46" s="5"/>
      <c r="AG46" s="27"/>
      <c r="AH46" s="25"/>
      <c r="AI46" s="25"/>
      <c r="AJ46" s="25">
        <f>-AJ34</f>
        <v>8</v>
      </c>
      <c r="AK46" s="25">
        <f>AK34</f>
        <v>0</v>
      </c>
      <c r="AL46" s="25"/>
      <c r="AM46" s="25"/>
      <c r="AN46" s="30"/>
      <c r="AO46" s="27"/>
      <c r="AP46" s="75"/>
      <c r="AQ46" s="75"/>
      <c r="AR46" s="75"/>
      <c r="AS46" s="75"/>
      <c r="AT46" s="75"/>
      <c r="AU46" s="75"/>
      <c r="AV46" s="75"/>
      <c r="AW46" s="75"/>
      <c r="AX46" s="30"/>
      <c r="AY46" s="2"/>
    </row>
    <row r="47" spans="11:51" ht="15" customHeight="1" x14ac:dyDescent="0.25">
      <c r="AE47" s="30"/>
      <c r="AF47" s="75"/>
      <c r="AG47" s="75"/>
      <c r="AH47" s="25"/>
      <c r="AI47" s="25"/>
      <c r="AJ47" s="25">
        <f>-AJ33</f>
        <v>0</v>
      </c>
      <c r="AK47" s="25">
        <f>AK33</f>
        <v>0</v>
      </c>
      <c r="AL47" s="25"/>
      <c r="AM47" s="25"/>
      <c r="AN47" s="30"/>
      <c r="AO47" s="75"/>
      <c r="AP47" s="75"/>
      <c r="AQ47" s="75"/>
      <c r="AR47" s="75"/>
      <c r="AS47" s="75"/>
      <c r="AT47" s="75"/>
      <c r="AU47" s="75"/>
      <c r="AV47" s="75"/>
      <c r="AW47" s="75"/>
      <c r="AX47" s="30"/>
      <c r="AY47" s="2"/>
    </row>
    <row r="48" spans="11:51" ht="15" customHeight="1" x14ac:dyDescent="0.25">
      <c r="AE48" s="30"/>
      <c r="AF48" s="75"/>
      <c r="AG48" s="75"/>
      <c r="AH48" s="25"/>
      <c r="AI48" s="25"/>
      <c r="AJ48" s="25">
        <f>-AJ32</f>
        <v>0</v>
      </c>
      <c r="AK48" s="25">
        <f>AK32</f>
        <v>0</v>
      </c>
      <c r="AL48" s="25"/>
      <c r="AM48" s="25"/>
      <c r="AN48" s="30"/>
      <c r="AO48" s="75"/>
      <c r="AP48" s="75"/>
      <c r="AQ48" s="75"/>
      <c r="AR48" s="75"/>
      <c r="AS48" s="75"/>
      <c r="AT48" s="75"/>
      <c r="AU48" s="75"/>
      <c r="AV48" s="75"/>
      <c r="AW48" s="75"/>
      <c r="AX48" s="30"/>
      <c r="AY48" s="2"/>
    </row>
    <row r="49" spans="31:51" ht="15" customHeight="1" x14ac:dyDescent="0.25">
      <c r="AE49" s="30"/>
      <c r="AF49" s="5"/>
      <c r="AG49" s="27"/>
      <c r="AH49" s="25"/>
      <c r="AI49" s="25"/>
      <c r="AJ49" s="25">
        <f>-AJ31</f>
        <v>0</v>
      </c>
      <c r="AK49" s="25">
        <f>AK31</f>
        <v>0</v>
      </c>
      <c r="AL49" s="25"/>
      <c r="AM49" s="25"/>
      <c r="AN49" s="30"/>
      <c r="AO49" s="27"/>
      <c r="AP49" s="75"/>
      <c r="AQ49" s="75"/>
      <c r="AR49" s="75"/>
      <c r="AS49" s="75"/>
      <c r="AT49" s="75"/>
      <c r="AU49" s="75"/>
      <c r="AV49" s="75"/>
      <c r="AW49" s="75"/>
      <c r="AX49" s="30"/>
      <c r="AY49" s="2"/>
    </row>
    <row r="50" spans="31:51" ht="15" customHeight="1" x14ac:dyDescent="0.25">
      <c r="AE50" s="30"/>
      <c r="AH50" s="76"/>
      <c r="AI50" s="76"/>
      <c r="AJ50" s="24">
        <f>-AJ30</f>
        <v>0</v>
      </c>
      <c r="AK50" s="24">
        <f>AK30</f>
        <v>0</v>
      </c>
      <c r="AL50" s="76"/>
      <c r="AM50" s="76"/>
      <c r="AN50" s="30"/>
      <c r="AX50" s="30"/>
      <c r="AY50" s="2"/>
    </row>
    <row r="51" spans="31:51" ht="15" customHeight="1" x14ac:dyDescent="0.25">
      <c r="AE51" s="30"/>
      <c r="AH51" s="75"/>
      <c r="AI51" s="75"/>
      <c r="AJ51" s="25">
        <f>-AJ29</f>
        <v>0</v>
      </c>
      <c r="AK51" s="25">
        <f>AK29</f>
        <v>0</v>
      </c>
      <c r="AL51" s="75"/>
      <c r="AM51" s="75"/>
      <c r="AN51" s="30"/>
      <c r="AX51" s="30"/>
      <c r="AY51" s="2"/>
    </row>
    <row r="52" spans="31:51" ht="15" customHeight="1" x14ac:dyDescent="0.25">
      <c r="AE52" s="30"/>
      <c r="AH52" s="75"/>
      <c r="AI52" s="75"/>
      <c r="AJ52" s="25">
        <f>-AJ28</f>
        <v>0</v>
      </c>
      <c r="AK52" s="25">
        <f>AK28</f>
        <v>0</v>
      </c>
      <c r="AL52" s="75"/>
      <c r="AM52" s="75"/>
      <c r="AN52" s="30"/>
      <c r="AX52" s="30"/>
      <c r="AY52" s="2"/>
    </row>
    <row r="53" spans="31:51" ht="15" customHeight="1" x14ac:dyDescent="0.25">
      <c r="AE53" s="30"/>
      <c r="AH53" s="75"/>
      <c r="AI53" s="75"/>
      <c r="AJ53" s="25">
        <f>-AJ27</f>
        <v>0</v>
      </c>
      <c r="AK53" s="25">
        <f>AK27</f>
        <v>0</v>
      </c>
      <c r="AL53" s="75"/>
      <c r="AM53" s="75"/>
      <c r="AN53" s="30"/>
      <c r="AX53" s="30"/>
      <c r="AY53" s="2"/>
    </row>
    <row r="54" spans="31:51" ht="15" customHeight="1" x14ac:dyDescent="0.25">
      <c r="AE54" s="30"/>
      <c r="AF54" s="30"/>
      <c r="AG54" s="30"/>
      <c r="AH54" s="31"/>
      <c r="AI54" s="31"/>
      <c r="AJ54" s="31"/>
      <c r="AK54" s="31"/>
      <c r="AL54" s="31"/>
      <c r="AM54" s="31"/>
      <c r="AN54" s="30"/>
      <c r="AO54" s="30"/>
      <c r="AP54" s="30"/>
      <c r="AQ54" s="30"/>
      <c r="AR54" s="30"/>
      <c r="AS54" s="30"/>
      <c r="AT54" s="30"/>
      <c r="AU54" s="30"/>
      <c r="AV54" s="30"/>
      <c r="AW54" s="30"/>
      <c r="AX54" s="30"/>
      <c r="AY54" s="2"/>
    </row>
    <row r="55" spans="31:51" ht="15" customHeight="1" x14ac:dyDescent="0.25">
      <c r="AE55" s="30"/>
      <c r="AF55" s="27" t="s">
        <v>354</v>
      </c>
      <c r="AG55" s="27"/>
      <c r="AH55" s="82" t="s">
        <v>313</v>
      </c>
      <c r="AI55" s="82"/>
      <c r="AJ55" s="82" t="s">
        <v>9</v>
      </c>
      <c r="AK55" s="82"/>
      <c r="AL55" s="82" t="s">
        <v>388</v>
      </c>
      <c r="AM55" s="82"/>
      <c r="AN55" s="30"/>
      <c r="AO55" s="27"/>
      <c r="AP55" s="75"/>
      <c r="AQ55" s="75"/>
      <c r="AR55" s="75"/>
      <c r="AS55" s="75"/>
      <c r="AT55" s="75"/>
      <c r="AU55" s="75"/>
      <c r="AV55" s="75"/>
      <c r="AW55" s="75"/>
      <c r="AX55" s="30"/>
      <c r="AY55" s="2"/>
    </row>
    <row r="56" spans="31:51" ht="15" customHeight="1" x14ac:dyDescent="0.25">
      <c r="AE56" s="30"/>
      <c r="AF56" s="75" t="s">
        <v>269</v>
      </c>
      <c r="AG56" s="24" cm="1">
        <f t="array" ref="AG56">IF($M$33=1,INDEX(AO56:AW56,1,$M$30),0)*$M$31</f>
        <v>20</v>
      </c>
      <c r="AH56" s="75" t="s">
        <v>312</v>
      </c>
      <c r="AI56" s="75" t="s">
        <v>28</v>
      </c>
      <c r="AJ56" s="75" t="s">
        <v>312</v>
      </c>
      <c r="AK56" s="75" t="s">
        <v>28</v>
      </c>
      <c r="AL56" s="75" t="s">
        <v>312</v>
      </c>
      <c r="AM56" s="75" t="s">
        <v>28</v>
      </c>
      <c r="AN56" s="30"/>
      <c r="AO56" s="24">
        <f>Calculs!E106</f>
        <v>20</v>
      </c>
      <c r="AP56" s="24">
        <f>Calculs!F106</f>
        <v>20</v>
      </c>
      <c r="AQ56" s="24">
        <f>Calculs!G106</f>
        <v>20</v>
      </c>
      <c r="AR56" s="24">
        <f>Calculs!H106</f>
        <v>20</v>
      </c>
      <c r="AS56" s="24">
        <f>Calculs!I106</f>
        <v>20</v>
      </c>
      <c r="AT56" s="24">
        <f>Calculs!J106</f>
        <v>20</v>
      </c>
      <c r="AU56" s="24">
        <f>Calculs!K106</f>
        <v>20</v>
      </c>
      <c r="AV56" s="24">
        <f>Calculs!L106</f>
        <v>20</v>
      </c>
      <c r="AW56" s="24">
        <f>Calculs!M106</f>
        <v>20</v>
      </c>
      <c r="AX56" s="30"/>
      <c r="AY56" s="2"/>
    </row>
    <row r="57" spans="31:51" ht="15" customHeight="1" x14ac:dyDescent="0.25">
      <c r="AE57" s="30"/>
      <c r="AF57" s="75" t="s">
        <v>270</v>
      </c>
      <c r="AG57" s="24" cm="1">
        <f t="array" ref="AG57">IF($M$33=1,INDEX(AO57:AW57,1,$M$30),0)*$M$31</f>
        <v>20</v>
      </c>
      <c r="AH57" s="25">
        <v>0</v>
      </c>
      <c r="AI57" s="25">
        <f>AK71+(AG56-AG57)/2</f>
        <v>560</v>
      </c>
      <c r="AJ57" s="25">
        <v>0</v>
      </c>
      <c r="AK57" s="25">
        <v>0</v>
      </c>
      <c r="AL57" s="25">
        <v>0</v>
      </c>
      <c r="AM57" s="25">
        <f>-(AG56-AG57)/2</f>
        <v>0</v>
      </c>
      <c r="AN57" s="30"/>
      <c r="AO57" s="24">
        <f>Calculs!E107</f>
        <v>20</v>
      </c>
      <c r="AP57" s="24">
        <f>Calculs!F107</f>
        <v>20</v>
      </c>
      <c r="AQ57" s="24">
        <f>Calculs!G107</f>
        <v>20</v>
      </c>
      <c r="AR57" s="24">
        <f>Calculs!H107</f>
        <v>8.75</v>
      </c>
      <c r="AS57" s="24">
        <f>Calculs!I107</f>
        <v>8.75</v>
      </c>
      <c r="AT57" s="24">
        <f>Calculs!J107</f>
        <v>8.75</v>
      </c>
      <c r="AU57" s="24">
        <f>Calculs!K107</f>
        <v>8.75</v>
      </c>
      <c r="AV57" s="24">
        <f>Calculs!L107</f>
        <v>8.75</v>
      </c>
      <c r="AW57" s="24">
        <f>Calculs!M107</f>
        <v>8.75</v>
      </c>
      <c r="AX57" s="30"/>
      <c r="AY57" s="2"/>
    </row>
    <row r="58" spans="31:51" ht="15" customHeight="1" x14ac:dyDescent="0.25">
      <c r="AE58" s="30"/>
      <c r="AF58" s="75" t="s">
        <v>271</v>
      </c>
      <c r="AG58" s="6" cm="1">
        <f t="array" ref="AG58">IF($M$33=1,INDEX(AO58:AW58,1,$M$30),0)</f>
        <v>117</v>
      </c>
      <c r="AH58" s="25">
        <f>-AG59/2</f>
        <v>-8</v>
      </c>
      <c r="AI58" s="25">
        <f>AI57</f>
        <v>560</v>
      </c>
      <c r="AJ58" s="25">
        <f>-AG69/2</f>
        <v>0</v>
      </c>
      <c r="AK58" s="25">
        <v>0</v>
      </c>
      <c r="AL58" s="25">
        <f>-AG63/2</f>
        <v>-8</v>
      </c>
      <c r="AM58" s="25">
        <f>AM57</f>
        <v>0</v>
      </c>
      <c r="AN58" s="30"/>
      <c r="AO58" s="6">
        <f>Calculs!E108</f>
        <v>117</v>
      </c>
      <c r="AP58" s="6">
        <f>Calculs!F108</f>
        <v>117</v>
      </c>
      <c r="AQ58" s="6">
        <f>Calculs!G108</f>
        <v>117</v>
      </c>
      <c r="AR58" s="6">
        <f>Calculs!H108</f>
        <v>82</v>
      </c>
      <c r="AS58" s="6">
        <f>Calculs!I108</f>
        <v>0</v>
      </c>
      <c r="AT58" s="6">
        <f>Calculs!J108</f>
        <v>82</v>
      </c>
      <c r="AU58" s="6">
        <f>Calculs!K108</f>
        <v>82</v>
      </c>
      <c r="AV58" s="6">
        <f>Calculs!L108</f>
        <v>0</v>
      </c>
      <c r="AW58" s="6">
        <f>Calculs!M108</f>
        <v>0</v>
      </c>
      <c r="AX58" s="30"/>
      <c r="AY58" s="2"/>
    </row>
    <row r="59" spans="31:51" ht="15" customHeight="1" x14ac:dyDescent="0.25">
      <c r="AE59" s="30"/>
      <c r="AF59" s="75" t="s">
        <v>272</v>
      </c>
      <c r="AG59" s="6" cm="1">
        <f t="array" ref="AG59">IF($M$33=1,INDEX(AO59:AW59,1,$M$30),0)</f>
        <v>16</v>
      </c>
      <c r="AH59" s="25">
        <f>AH58</f>
        <v>-8</v>
      </c>
      <c r="AI59" s="25">
        <f>IF(AG58=0,AI58,AK70)</f>
        <v>560</v>
      </c>
      <c r="AJ59" s="25">
        <f>AJ58</f>
        <v>0</v>
      </c>
      <c r="AK59" s="25">
        <f>AK58+AG75</f>
        <v>0</v>
      </c>
      <c r="AL59" s="25">
        <f>AL58</f>
        <v>-8</v>
      </c>
      <c r="AM59" s="25">
        <f>IF(AG62=0,AM58,0)</f>
        <v>0</v>
      </c>
      <c r="AN59" s="30"/>
      <c r="AO59" s="6">
        <f>Calculs!E109</f>
        <v>16</v>
      </c>
      <c r="AP59" s="6">
        <f>Calculs!F109</f>
        <v>16</v>
      </c>
      <c r="AQ59" s="6">
        <f>Calculs!G109</f>
        <v>16</v>
      </c>
      <c r="AR59" s="6">
        <f>Calculs!H109</f>
        <v>86</v>
      </c>
      <c r="AS59" s="6">
        <f>Calculs!I109</f>
        <v>250</v>
      </c>
      <c r="AT59" s="6">
        <f>Calculs!J109</f>
        <v>86</v>
      </c>
      <c r="AU59" s="6">
        <f>Calculs!K109</f>
        <v>86</v>
      </c>
      <c r="AV59" s="6">
        <f>Calculs!L109</f>
        <v>250</v>
      </c>
      <c r="AW59" s="6">
        <f>Calculs!M109</f>
        <v>250</v>
      </c>
      <c r="AX59" s="30"/>
      <c r="AY59" s="2"/>
    </row>
    <row r="60" spans="31:51" ht="15" customHeight="1" x14ac:dyDescent="0.25">
      <c r="AE60" s="30"/>
      <c r="AF60" s="75" t="s">
        <v>273</v>
      </c>
      <c r="AG60" s="24" cm="1">
        <f t="array" ref="AG60">IF($M$33=1,INDEX(AO60:AW60,1,$M$30),0)*$M$31</f>
        <v>20</v>
      </c>
      <c r="AH60" s="25">
        <f>AH59-AG58</f>
        <v>-125</v>
      </c>
      <c r="AI60" s="25">
        <f>AI59</f>
        <v>560</v>
      </c>
      <c r="AJ60" s="25">
        <f>-AG68/2</f>
        <v>0</v>
      </c>
      <c r="AK60" s="25">
        <f>AK59</f>
        <v>0</v>
      </c>
      <c r="AL60" s="25">
        <f>AL59-AG62</f>
        <v>-125</v>
      </c>
      <c r="AM60" s="25">
        <f>AM59</f>
        <v>0</v>
      </c>
      <c r="AN60" s="30"/>
      <c r="AO60" s="24">
        <f>Calculs!E110</f>
        <v>20</v>
      </c>
      <c r="AP60" s="24">
        <f>Calculs!F110</f>
        <v>20</v>
      </c>
      <c r="AQ60" s="24">
        <f>Calculs!G110</f>
        <v>20</v>
      </c>
      <c r="AR60" s="24">
        <f>Calculs!H110</f>
        <v>20</v>
      </c>
      <c r="AS60" s="24">
        <f>Calculs!I110</f>
        <v>20</v>
      </c>
      <c r="AT60" s="24">
        <f>Calculs!J110</f>
        <v>20</v>
      </c>
      <c r="AU60" s="24">
        <f>Calculs!K110</f>
        <v>20</v>
      </c>
      <c r="AV60" s="24">
        <f>Calculs!L110</f>
        <v>20</v>
      </c>
      <c r="AW60" s="24">
        <f>Calculs!M110</f>
        <v>20</v>
      </c>
      <c r="AX60" s="30"/>
      <c r="AY60" s="2"/>
    </row>
    <row r="61" spans="31:51" ht="15" customHeight="1" x14ac:dyDescent="0.25">
      <c r="AE61" s="30"/>
      <c r="AF61" s="75" t="s">
        <v>274</v>
      </c>
      <c r="AG61" s="24" cm="1">
        <f t="array" ref="AG61">IF($M$33=1,INDEX(AO61:AW61,1,$M$30),0)*$M$31</f>
        <v>20</v>
      </c>
      <c r="AH61" s="25">
        <f>AH60</f>
        <v>-125</v>
      </c>
      <c r="AI61" s="25">
        <f>IF(AG58=0,AI60+AG57,AI60+AG56)</f>
        <v>580</v>
      </c>
      <c r="AJ61" s="25">
        <f>AJ60</f>
        <v>0</v>
      </c>
      <c r="AK61" s="25">
        <f>AK60+AG74</f>
        <v>0</v>
      </c>
      <c r="AL61" s="25">
        <f>AL60</f>
        <v>-125</v>
      </c>
      <c r="AM61" s="25">
        <f>IF(AG62=0,AM60-AG61,-AG60)</f>
        <v>-20</v>
      </c>
      <c r="AN61" s="30"/>
      <c r="AO61" s="24">
        <f>Calculs!E111</f>
        <v>20</v>
      </c>
      <c r="AP61" s="24">
        <f>Calculs!F111</f>
        <v>20</v>
      </c>
      <c r="AQ61" s="24">
        <f>Calculs!G111</f>
        <v>20</v>
      </c>
      <c r="AR61" s="24">
        <f>Calculs!H111</f>
        <v>8.75</v>
      </c>
      <c r="AS61" s="24">
        <f>Calculs!I111</f>
        <v>8.75</v>
      </c>
      <c r="AT61" s="24">
        <f>Calculs!J111</f>
        <v>8.75</v>
      </c>
      <c r="AU61" s="24">
        <f>Calculs!K111</f>
        <v>8.75</v>
      </c>
      <c r="AV61" s="24">
        <f>Calculs!L111</f>
        <v>8.75</v>
      </c>
      <c r="AW61" s="24">
        <f>Calculs!M111</f>
        <v>8.75</v>
      </c>
      <c r="AX61" s="30"/>
      <c r="AY61" s="2"/>
    </row>
    <row r="62" spans="31:51" ht="15" customHeight="1" x14ac:dyDescent="0.25">
      <c r="AE62" s="30"/>
      <c r="AF62" s="75" t="s">
        <v>275</v>
      </c>
      <c r="AG62" s="6" cm="1">
        <f t="array" ref="AG62">IF($M$33=1,INDEX(AO62:AW62,1,$M$30),0)</f>
        <v>117</v>
      </c>
      <c r="AH62" s="25">
        <f>AH59</f>
        <v>-8</v>
      </c>
      <c r="AI62" s="25">
        <f>AI61</f>
        <v>580</v>
      </c>
      <c r="AJ62" s="25">
        <f>-AG67/2</f>
        <v>0</v>
      </c>
      <c r="AK62" s="25">
        <f>AK61</f>
        <v>0</v>
      </c>
      <c r="AL62" s="25">
        <f>AL59</f>
        <v>-8</v>
      </c>
      <c r="AM62" s="25">
        <f>AM61</f>
        <v>-20</v>
      </c>
      <c r="AN62" s="30"/>
      <c r="AO62" s="6">
        <f>Calculs!E112</f>
        <v>117</v>
      </c>
      <c r="AP62" s="6">
        <f>Calculs!F112</f>
        <v>117</v>
      </c>
      <c r="AQ62" s="6">
        <f>Calculs!G112</f>
        <v>117</v>
      </c>
      <c r="AR62" s="6">
        <f>Calculs!H112</f>
        <v>82</v>
      </c>
      <c r="AS62" s="6">
        <f>Calculs!I112</f>
        <v>82</v>
      </c>
      <c r="AT62" s="6">
        <f>Calculs!J112</f>
        <v>0</v>
      </c>
      <c r="AU62" s="6">
        <f>Calculs!K112</f>
        <v>82</v>
      </c>
      <c r="AV62" s="6">
        <f>Calculs!L112</f>
        <v>0</v>
      </c>
      <c r="AW62" s="6">
        <f>Calculs!M112</f>
        <v>0</v>
      </c>
      <c r="AX62" s="30"/>
      <c r="AY62" s="2"/>
    </row>
    <row r="63" spans="31:51" ht="15" customHeight="1" x14ac:dyDescent="0.25">
      <c r="AE63" s="30"/>
      <c r="AF63" s="75" t="s">
        <v>276</v>
      </c>
      <c r="AG63" s="6" cm="1">
        <f t="array" ref="AG63">IF($M$33=1,INDEX(AO63:AW63,1,$M$30),0)</f>
        <v>16</v>
      </c>
      <c r="AH63" s="25">
        <f>AH58</f>
        <v>-8</v>
      </c>
      <c r="AI63" s="25">
        <f>IF(AG58=0,AI62,AI62-(AG56-AG57)/2)</f>
        <v>580</v>
      </c>
      <c r="AJ63" s="25">
        <f>AJ62</f>
        <v>0</v>
      </c>
      <c r="AK63" s="25">
        <f>AK62+AG73</f>
        <v>0</v>
      </c>
      <c r="AL63" s="25">
        <f>AL58</f>
        <v>-8</v>
      </c>
      <c r="AM63" s="25">
        <f>IF(AG62=0,AM62,AM62+(AG56-AG57)/2)</f>
        <v>-20</v>
      </c>
      <c r="AN63" s="30"/>
      <c r="AO63" s="6">
        <f>Calculs!E113</f>
        <v>16</v>
      </c>
      <c r="AP63" s="6">
        <f>Calculs!F113</f>
        <v>16</v>
      </c>
      <c r="AQ63" s="6">
        <f>Calculs!G113</f>
        <v>16</v>
      </c>
      <c r="AR63" s="6">
        <f>Calculs!H113</f>
        <v>86</v>
      </c>
      <c r="AS63" s="6">
        <f>Calculs!I113</f>
        <v>86</v>
      </c>
      <c r="AT63" s="6">
        <f>Calculs!J113</f>
        <v>250</v>
      </c>
      <c r="AU63" s="6">
        <f>Calculs!K113</f>
        <v>86</v>
      </c>
      <c r="AV63" s="6">
        <f>Calculs!L113</f>
        <v>250</v>
      </c>
      <c r="AW63" s="6">
        <f>Calculs!M113</f>
        <v>250</v>
      </c>
      <c r="AX63" s="30"/>
      <c r="AY63" s="2"/>
    </row>
    <row r="64" spans="31:51" ht="15" customHeight="1" x14ac:dyDescent="0.25">
      <c r="AE64" s="30"/>
      <c r="AF64" s="75" t="s">
        <v>277</v>
      </c>
      <c r="AG64" s="24" cm="1">
        <f t="array" ref="AG64">IF($M$33=1,INDEX(AO64:AW64,1,$M$30),0)*$M$31</f>
        <v>16</v>
      </c>
      <c r="AH64" s="25">
        <f>AH57</f>
        <v>0</v>
      </c>
      <c r="AI64" s="25">
        <f>AI63</f>
        <v>580</v>
      </c>
      <c r="AJ64" s="25">
        <f>-AG66/2</f>
        <v>0</v>
      </c>
      <c r="AK64" s="25">
        <f>AK63</f>
        <v>0</v>
      </c>
      <c r="AL64" s="25">
        <f>AL57</f>
        <v>0</v>
      </c>
      <c r="AM64" s="25">
        <f>AM63</f>
        <v>-20</v>
      </c>
      <c r="AN64" s="30"/>
      <c r="AO64" s="24">
        <f>Calculs!E114</f>
        <v>16</v>
      </c>
      <c r="AP64" s="24">
        <f>Calculs!F114</f>
        <v>16</v>
      </c>
      <c r="AQ64" s="24">
        <f>Calculs!G114</f>
        <v>16</v>
      </c>
      <c r="AR64" s="24">
        <f>Calculs!H114</f>
        <v>7</v>
      </c>
      <c r="AS64" s="24">
        <f>Calculs!I114</f>
        <v>7</v>
      </c>
      <c r="AT64" s="24">
        <f>Calculs!J114</f>
        <v>7</v>
      </c>
      <c r="AU64" s="24">
        <f>Calculs!K114</f>
        <v>7</v>
      </c>
      <c r="AV64" s="24">
        <f>Calculs!L114</f>
        <v>7</v>
      </c>
      <c r="AW64" s="24">
        <f>Calculs!M114</f>
        <v>7</v>
      </c>
      <c r="AX64" s="30"/>
      <c r="AY64" s="2"/>
    </row>
    <row r="65" spans="31:51" ht="15" customHeight="1" x14ac:dyDescent="0.25">
      <c r="AE65" s="30"/>
      <c r="AF65" s="75" t="s">
        <v>278</v>
      </c>
      <c r="AG65" s="24" cm="1">
        <f t="array" ref="AG65">IF($M$33=1,INDEX(AO65:AW65,1,$M$30),0)*$M$31</f>
        <v>0</v>
      </c>
      <c r="AH65" s="25">
        <f>-AH63</f>
        <v>8</v>
      </c>
      <c r="AI65" s="25">
        <f>AI63</f>
        <v>580</v>
      </c>
      <c r="AJ65" s="25">
        <f>AJ64</f>
        <v>0</v>
      </c>
      <c r="AK65" s="25">
        <f>AK64+AG72</f>
        <v>0</v>
      </c>
      <c r="AL65" s="25">
        <f>-AL63</f>
        <v>8</v>
      </c>
      <c r="AM65" s="25">
        <f>AM63</f>
        <v>-20</v>
      </c>
      <c r="AN65" s="30"/>
      <c r="AO65" s="24">
        <f>Calculs!E115</f>
        <v>0</v>
      </c>
      <c r="AP65" s="24">
        <f>Calculs!F115</f>
        <v>7</v>
      </c>
      <c r="AQ65" s="24">
        <f>Calculs!G115</f>
        <v>7</v>
      </c>
      <c r="AR65" s="24">
        <f>Calculs!H115</f>
        <v>16</v>
      </c>
      <c r="AS65" s="24">
        <f>Calculs!I115</f>
        <v>16</v>
      </c>
      <c r="AT65" s="24">
        <f>Calculs!J115</f>
        <v>16</v>
      </c>
      <c r="AU65" s="24">
        <f>Calculs!K115</f>
        <v>7</v>
      </c>
      <c r="AV65" s="24">
        <f>Calculs!L115</f>
        <v>7</v>
      </c>
      <c r="AW65" s="24">
        <f>Calculs!M115</f>
        <v>7</v>
      </c>
      <c r="AX65" s="30"/>
      <c r="AY65" s="2"/>
    </row>
    <row r="66" spans="31:51" ht="15" customHeight="1" x14ac:dyDescent="0.25">
      <c r="AE66" s="30"/>
      <c r="AF66" s="75" t="s">
        <v>279</v>
      </c>
      <c r="AG66" s="24" cm="1">
        <f t="array" ref="AG66">IF($M$33=1,INDEX(AO66:AW66,1,$M$30),0)*$M$31</f>
        <v>0</v>
      </c>
      <c r="AH66" s="25">
        <f>-AH62</f>
        <v>8</v>
      </c>
      <c r="AI66" s="25">
        <f>AI62</f>
        <v>580</v>
      </c>
      <c r="AJ66" s="25">
        <f>-AG65/2</f>
        <v>0</v>
      </c>
      <c r="AK66" s="25">
        <f>AK65</f>
        <v>0</v>
      </c>
      <c r="AL66" s="25">
        <f>-AL62</f>
        <v>8</v>
      </c>
      <c r="AM66" s="25">
        <f>AM62</f>
        <v>-20</v>
      </c>
      <c r="AN66" s="30"/>
      <c r="AO66" s="24">
        <f>Calculs!E116</f>
        <v>0</v>
      </c>
      <c r="AP66" s="24">
        <f>Calculs!F116</f>
        <v>16</v>
      </c>
      <c r="AQ66" s="24">
        <f>Calculs!G116</f>
        <v>16</v>
      </c>
      <c r="AR66" s="24">
        <f>Calculs!H116</f>
        <v>7</v>
      </c>
      <c r="AS66" s="24">
        <f>Calculs!I116</f>
        <v>7</v>
      </c>
      <c r="AT66" s="24">
        <f>Calculs!J116</f>
        <v>7</v>
      </c>
      <c r="AU66" s="24">
        <f>Calculs!K116</f>
        <v>7</v>
      </c>
      <c r="AV66" s="24">
        <f>Calculs!L116</f>
        <v>7</v>
      </c>
      <c r="AW66" s="24">
        <f>Calculs!M116</f>
        <v>7</v>
      </c>
      <c r="AX66" s="30"/>
      <c r="AY66" s="2"/>
    </row>
    <row r="67" spans="31:51" ht="15" customHeight="1" x14ac:dyDescent="0.25">
      <c r="AE67" s="30"/>
      <c r="AF67" s="75" t="s">
        <v>280</v>
      </c>
      <c r="AG67" s="24" cm="1">
        <f t="array" ref="AG67">IF($M$33=1,INDEX(AO67:AW67,1,$M$30),0)*$M$31</f>
        <v>0</v>
      </c>
      <c r="AH67" s="25">
        <f>-AH61</f>
        <v>125</v>
      </c>
      <c r="AI67" s="25">
        <f>AI61</f>
        <v>580</v>
      </c>
      <c r="AJ67" s="25">
        <f>AJ66</f>
        <v>0</v>
      </c>
      <c r="AK67" s="25">
        <f>AK66+AG71</f>
        <v>0</v>
      </c>
      <c r="AL67" s="25">
        <f>-AL61</f>
        <v>125</v>
      </c>
      <c r="AM67" s="25">
        <f>AM61</f>
        <v>-20</v>
      </c>
      <c r="AN67" s="30"/>
      <c r="AO67" s="24">
        <f>Calculs!E117</f>
        <v>0</v>
      </c>
      <c r="AP67" s="24">
        <f>Calculs!F117</f>
        <v>0</v>
      </c>
      <c r="AQ67" s="24">
        <f>Calculs!G117</f>
        <v>7</v>
      </c>
      <c r="AR67" s="24">
        <f>Calculs!H117</f>
        <v>0</v>
      </c>
      <c r="AS67" s="24">
        <f>Calculs!I117</f>
        <v>0</v>
      </c>
      <c r="AT67" s="24">
        <f>Calculs!J117</f>
        <v>0</v>
      </c>
      <c r="AU67" s="24">
        <f>Calculs!K117</f>
        <v>7</v>
      </c>
      <c r="AV67" s="24">
        <f>Calculs!L117</f>
        <v>7</v>
      </c>
      <c r="AW67" s="24">
        <f>Calculs!M117</f>
        <v>7</v>
      </c>
      <c r="AX67" s="30"/>
      <c r="AY67" s="2"/>
    </row>
    <row r="68" spans="31:51" ht="15" customHeight="1" x14ac:dyDescent="0.25">
      <c r="AE68" s="30"/>
      <c r="AF68" s="75" t="s">
        <v>281</v>
      </c>
      <c r="AG68" s="24" cm="1">
        <f t="array" ref="AG68">IF($M$33=1,INDEX(AO68:AW68,1,$M$30),0)*$M$31</f>
        <v>0</v>
      </c>
      <c r="AH68" s="25">
        <f>-AH60</f>
        <v>125</v>
      </c>
      <c r="AI68" s="25">
        <f>AI60</f>
        <v>560</v>
      </c>
      <c r="AJ68" s="25">
        <f>-AG64/2</f>
        <v>-8</v>
      </c>
      <c r="AK68" s="25">
        <f>AK67</f>
        <v>0</v>
      </c>
      <c r="AL68" s="25">
        <f>-AL60</f>
        <v>125</v>
      </c>
      <c r="AM68" s="25">
        <f>AM60</f>
        <v>0</v>
      </c>
      <c r="AN68" s="30"/>
      <c r="AO68" s="24">
        <f>Calculs!E118</f>
        <v>0</v>
      </c>
      <c r="AP68" s="24">
        <f>Calculs!F118</f>
        <v>0</v>
      </c>
      <c r="AQ68" s="24">
        <f>Calculs!G118</f>
        <v>16</v>
      </c>
      <c r="AR68" s="24">
        <f>Calculs!H118</f>
        <v>0</v>
      </c>
      <c r="AS68" s="24">
        <f>Calculs!I118</f>
        <v>0</v>
      </c>
      <c r="AT68" s="24">
        <f>Calculs!J118</f>
        <v>0</v>
      </c>
      <c r="AU68" s="24">
        <f>Calculs!K118</f>
        <v>7</v>
      </c>
      <c r="AV68" s="24">
        <f>Calculs!L118</f>
        <v>7</v>
      </c>
      <c r="AW68" s="24">
        <f>Calculs!M118</f>
        <v>7</v>
      </c>
      <c r="AX68" s="30"/>
      <c r="AY68" s="2"/>
    </row>
    <row r="69" spans="31:51" ht="15" customHeight="1" x14ac:dyDescent="0.25">
      <c r="AE69" s="30"/>
      <c r="AF69" s="75" t="s">
        <v>416</v>
      </c>
      <c r="AG69" s="24" cm="1">
        <f t="array" ref="AG69">IF($M$33=1,INDEX(AO69:AW69,1,$M$30),0)*$M$31</f>
        <v>0</v>
      </c>
      <c r="AH69" s="25">
        <f>-AH59</f>
        <v>8</v>
      </c>
      <c r="AI69" s="25">
        <f>AI59</f>
        <v>560</v>
      </c>
      <c r="AJ69" s="25">
        <f>AJ68</f>
        <v>-8</v>
      </c>
      <c r="AK69" s="25">
        <f>AK68+AG70</f>
        <v>560</v>
      </c>
      <c r="AL69" s="25">
        <f>-AL59</f>
        <v>8</v>
      </c>
      <c r="AM69" s="25">
        <f>AM59</f>
        <v>0</v>
      </c>
      <c r="AN69" s="30"/>
      <c r="AO69" s="24">
        <f>Calculs!E119</f>
        <v>0</v>
      </c>
      <c r="AP69" s="24">
        <f>Calculs!F119</f>
        <v>0</v>
      </c>
      <c r="AQ69" s="24">
        <f>Calculs!G119</f>
        <v>0</v>
      </c>
      <c r="AR69" s="24">
        <f>Calculs!H119</f>
        <v>0</v>
      </c>
      <c r="AS69" s="24">
        <f>Calculs!I119</f>
        <v>0</v>
      </c>
      <c r="AT69" s="24">
        <f>Calculs!J119</f>
        <v>0</v>
      </c>
      <c r="AU69" s="24">
        <f>Calculs!K119</f>
        <v>0</v>
      </c>
      <c r="AV69" s="24">
        <f>Calculs!L119</f>
        <v>0</v>
      </c>
      <c r="AW69" s="24">
        <f>Calculs!M119</f>
        <v>0</v>
      </c>
      <c r="AX69" s="30"/>
      <c r="AY69" s="2"/>
    </row>
    <row r="70" spans="31:51" ht="15" customHeight="1" x14ac:dyDescent="0.25">
      <c r="AE70" s="30"/>
      <c r="AF70" s="75" t="s">
        <v>282</v>
      </c>
      <c r="AG70" s="6" cm="1">
        <f t="array" ref="AG70">IF($M$33=1,INDEX(AO70:AW70,1,$M$30),0)</f>
        <v>560</v>
      </c>
      <c r="AH70" s="25">
        <f>-AH58</f>
        <v>8</v>
      </c>
      <c r="AI70" s="25">
        <f>AI58</f>
        <v>560</v>
      </c>
      <c r="AJ70" s="25">
        <v>0</v>
      </c>
      <c r="AK70" s="25">
        <f>AK69</f>
        <v>560</v>
      </c>
      <c r="AL70" s="25">
        <f>-AL58</f>
        <v>8</v>
      </c>
      <c r="AM70" s="25">
        <f>AM58</f>
        <v>0</v>
      </c>
      <c r="AN70" s="30"/>
      <c r="AO70" s="6">
        <f>Calculs!E120</f>
        <v>560</v>
      </c>
      <c r="AP70" s="6">
        <f>Calculs!F120</f>
        <v>245</v>
      </c>
      <c r="AQ70" s="6">
        <f>Calculs!G120</f>
        <v>65</v>
      </c>
      <c r="AR70" s="6">
        <f>Calculs!H120</f>
        <v>35</v>
      </c>
      <c r="AS70" s="6">
        <f>Calculs!I120</f>
        <v>35</v>
      </c>
      <c r="AT70" s="6">
        <f>Calculs!J120</f>
        <v>35</v>
      </c>
      <c r="AU70" s="6">
        <f>Calculs!K120</f>
        <v>112</v>
      </c>
      <c r="AV70" s="6">
        <f>Calculs!L120</f>
        <v>112</v>
      </c>
      <c r="AW70" s="6">
        <f>Calculs!M120</f>
        <v>112</v>
      </c>
      <c r="AX70" s="30"/>
      <c r="AY70" s="2"/>
    </row>
    <row r="71" spans="31:51" ht="15" customHeight="1" x14ac:dyDescent="0.25">
      <c r="AE71" s="30"/>
      <c r="AF71" s="75" t="s">
        <v>283</v>
      </c>
      <c r="AG71" s="6" cm="1">
        <f t="array" ref="AG71">IF($M$33=1,INDEX(AO71:AW71,1,$M$30),0)</f>
        <v>0</v>
      </c>
      <c r="AH71" s="25">
        <f>-AH57</f>
        <v>0</v>
      </c>
      <c r="AI71" s="25">
        <f>AI57</f>
        <v>560</v>
      </c>
      <c r="AJ71" s="25">
        <f>-AJ69</f>
        <v>8</v>
      </c>
      <c r="AK71" s="25">
        <f>AK69</f>
        <v>560</v>
      </c>
      <c r="AL71" s="25">
        <f>-AL57</f>
        <v>0</v>
      </c>
      <c r="AM71" s="25">
        <f>AM57</f>
        <v>0</v>
      </c>
      <c r="AN71" s="30"/>
      <c r="AO71" s="6">
        <f>Calculs!E121</f>
        <v>0</v>
      </c>
      <c r="AP71" s="6">
        <f>Calculs!F121</f>
        <v>70</v>
      </c>
      <c r="AQ71" s="6">
        <f>Calculs!G121</f>
        <v>70</v>
      </c>
      <c r="AR71" s="6">
        <f>Calculs!H121</f>
        <v>490</v>
      </c>
      <c r="AS71" s="6">
        <f>Calculs!I121</f>
        <v>490</v>
      </c>
      <c r="AT71" s="6">
        <f>Calculs!J121</f>
        <v>490</v>
      </c>
      <c r="AU71" s="6">
        <f>Calculs!K121</f>
        <v>112</v>
      </c>
      <c r="AV71" s="6">
        <f>Calculs!L121</f>
        <v>112</v>
      </c>
      <c r="AW71" s="6">
        <f>Calculs!M121</f>
        <v>112</v>
      </c>
      <c r="AX71" s="30"/>
      <c r="AY71" s="2"/>
    </row>
    <row r="72" spans="31:51" ht="15" customHeight="1" x14ac:dyDescent="0.25">
      <c r="AE72" s="30"/>
      <c r="AF72" s="75" t="s">
        <v>284</v>
      </c>
      <c r="AG72" s="6" cm="1">
        <f t="array" ref="AG72">IF($M$33=1,INDEX(AO72:AW72,1,$M$30),0)</f>
        <v>0</v>
      </c>
      <c r="AH72" s="25"/>
      <c r="AI72" s="25"/>
      <c r="AJ72" s="25">
        <f>-AJ68</f>
        <v>8</v>
      </c>
      <c r="AK72" s="25">
        <f>AK68</f>
        <v>0</v>
      </c>
      <c r="AL72" s="25"/>
      <c r="AM72" s="25"/>
      <c r="AN72" s="30"/>
      <c r="AO72" s="6">
        <f>Calculs!E122</f>
        <v>0</v>
      </c>
      <c r="AP72" s="6">
        <f>Calculs!F122</f>
        <v>245</v>
      </c>
      <c r="AQ72" s="6">
        <f>Calculs!G122</f>
        <v>290</v>
      </c>
      <c r="AR72" s="6">
        <f>Calculs!H122</f>
        <v>35</v>
      </c>
      <c r="AS72" s="6">
        <f>Calculs!I122</f>
        <v>35</v>
      </c>
      <c r="AT72" s="6">
        <f>Calculs!J122</f>
        <v>35</v>
      </c>
      <c r="AU72" s="6">
        <f>Calculs!K122</f>
        <v>112</v>
      </c>
      <c r="AV72" s="6">
        <f>Calculs!L122</f>
        <v>112</v>
      </c>
      <c r="AW72" s="6">
        <f>Calculs!M122</f>
        <v>112</v>
      </c>
      <c r="AX72" s="30"/>
      <c r="AY72" s="2"/>
    </row>
    <row r="73" spans="31:51" ht="15" customHeight="1" x14ac:dyDescent="0.25">
      <c r="AE73" s="30"/>
      <c r="AF73" s="75" t="s">
        <v>285</v>
      </c>
      <c r="AG73" s="6" cm="1">
        <f t="array" ref="AG73">IF($M$33=1,INDEX(AO73:AW73,1,$M$30),0)</f>
        <v>0</v>
      </c>
      <c r="AH73" s="25"/>
      <c r="AI73" s="25"/>
      <c r="AJ73" s="25">
        <f>-AJ67</f>
        <v>0</v>
      </c>
      <c r="AK73" s="25">
        <f>AK67</f>
        <v>0</v>
      </c>
      <c r="AL73" s="25"/>
      <c r="AM73" s="25"/>
      <c r="AN73" s="30"/>
      <c r="AO73" s="6">
        <f>Calculs!E123</f>
        <v>0</v>
      </c>
      <c r="AP73" s="6">
        <f>Calculs!F123</f>
        <v>0</v>
      </c>
      <c r="AQ73" s="6">
        <f>Calculs!G123</f>
        <v>70</v>
      </c>
      <c r="AR73" s="6">
        <f>Calculs!H123</f>
        <v>0</v>
      </c>
      <c r="AS73" s="6">
        <f>Calculs!I123</f>
        <v>0</v>
      </c>
      <c r="AT73" s="6">
        <f>Calculs!J123</f>
        <v>0</v>
      </c>
      <c r="AU73" s="6">
        <f>Calculs!K123</f>
        <v>112</v>
      </c>
      <c r="AV73" s="6">
        <f>Calculs!L123</f>
        <v>112</v>
      </c>
      <c r="AW73" s="6">
        <f>Calculs!M123</f>
        <v>112</v>
      </c>
      <c r="AX73" s="30"/>
      <c r="AY73" s="2"/>
    </row>
    <row r="74" spans="31:51" ht="15" customHeight="1" x14ac:dyDescent="0.25">
      <c r="AE74" s="30"/>
      <c r="AF74" s="75" t="s">
        <v>286</v>
      </c>
      <c r="AG74" s="6" cm="1">
        <f t="array" ref="AG74">IF($M$33=1,INDEX(AO74:AW74,1,$M$30),0)</f>
        <v>0</v>
      </c>
      <c r="AH74" s="25"/>
      <c r="AI74" s="25"/>
      <c r="AJ74" s="25">
        <f>-AJ66</f>
        <v>0</v>
      </c>
      <c r="AK74" s="25">
        <f>AK66</f>
        <v>0</v>
      </c>
      <c r="AL74" s="25"/>
      <c r="AM74" s="25"/>
      <c r="AN74" s="30"/>
      <c r="AO74" s="6">
        <f>Calculs!E124</f>
        <v>0</v>
      </c>
      <c r="AP74" s="6">
        <f>Calculs!F124</f>
        <v>0</v>
      </c>
      <c r="AQ74" s="6">
        <f>Calculs!G124</f>
        <v>65</v>
      </c>
      <c r="AR74" s="6">
        <f>Calculs!H124</f>
        <v>0</v>
      </c>
      <c r="AS74" s="6">
        <f>Calculs!I124</f>
        <v>0</v>
      </c>
      <c r="AT74" s="6">
        <f>Calculs!J124</f>
        <v>0</v>
      </c>
      <c r="AU74" s="6">
        <f>Calculs!K124</f>
        <v>112</v>
      </c>
      <c r="AV74" s="6">
        <f>Calculs!L124</f>
        <v>112</v>
      </c>
      <c r="AW74" s="6">
        <f>Calculs!M124</f>
        <v>112</v>
      </c>
      <c r="AX74" s="30"/>
      <c r="AY74" s="2"/>
    </row>
    <row r="75" spans="31:51" ht="15" customHeight="1" x14ac:dyDescent="0.25">
      <c r="AE75" s="30"/>
      <c r="AF75" s="75" t="s">
        <v>419</v>
      </c>
      <c r="AG75" s="6" cm="1">
        <f t="array" ref="AG75">IF($M$33=1,INDEX(AO75:AW75,1,$M$30),0)</f>
        <v>0</v>
      </c>
      <c r="AH75" s="25"/>
      <c r="AI75" s="25"/>
      <c r="AJ75" s="25">
        <f>-AJ65</f>
        <v>0</v>
      </c>
      <c r="AK75" s="25">
        <f>AK65</f>
        <v>0</v>
      </c>
      <c r="AL75" s="25"/>
      <c r="AM75" s="25"/>
      <c r="AN75" s="30"/>
      <c r="AO75" s="6">
        <f>Calculs!E125</f>
        <v>0</v>
      </c>
      <c r="AP75" s="6">
        <f>Calculs!F125</f>
        <v>0</v>
      </c>
      <c r="AQ75" s="6">
        <f>Calculs!G125</f>
        <v>0</v>
      </c>
      <c r="AR75" s="6">
        <f>Calculs!H125</f>
        <v>0</v>
      </c>
      <c r="AS75" s="6">
        <f>Calculs!I125</f>
        <v>0</v>
      </c>
      <c r="AT75" s="6">
        <f>Calculs!J125</f>
        <v>0</v>
      </c>
      <c r="AU75" s="6">
        <f>Calculs!K125</f>
        <v>0</v>
      </c>
      <c r="AV75" s="6">
        <f>Calculs!L125</f>
        <v>0</v>
      </c>
      <c r="AW75" s="6">
        <f>Calculs!M125</f>
        <v>0</v>
      </c>
      <c r="AX75" s="30"/>
      <c r="AY75" s="2"/>
    </row>
    <row r="76" spans="31:51" ht="15" customHeight="1" x14ac:dyDescent="0.25">
      <c r="AE76" s="30"/>
      <c r="AH76" s="25"/>
      <c r="AI76" s="25"/>
      <c r="AJ76" s="25">
        <f>-AJ64</f>
        <v>0</v>
      </c>
      <c r="AK76" s="25">
        <f>AK64</f>
        <v>0</v>
      </c>
      <c r="AL76" s="25"/>
      <c r="AM76" s="25"/>
      <c r="AN76" s="30"/>
      <c r="AX76" s="30"/>
      <c r="AY76" s="2"/>
    </row>
    <row r="77" spans="31:51" ht="15" customHeight="1" x14ac:dyDescent="0.25">
      <c r="AE77" s="30"/>
      <c r="AH77" s="25"/>
      <c r="AI77" s="25"/>
      <c r="AJ77" s="25">
        <f>-AJ63</f>
        <v>0</v>
      </c>
      <c r="AK77" s="25">
        <f>AK63</f>
        <v>0</v>
      </c>
      <c r="AL77" s="25"/>
      <c r="AM77" s="25"/>
      <c r="AN77" s="30"/>
      <c r="AX77" s="30"/>
      <c r="AY77" s="2"/>
    </row>
    <row r="78" spans="31:51" ht="15" customHeight="1" x14ac:dyDescent="0.25">
      <c r="AE78" s="30"/>
      <c r="AH78" s="25"/>
      <c r="AI78" s="25"/>
      <c r="AJ78" s="25">
        <f>-AJ62</f>
        <v>0</v>
      </c>
      <c r="AK78" s="25">
        <f>AK62</f>
        <v>0</v>
      </c>
      <c r="AL78" s="25"/>
      <c r="AM78" s="25"/>
      <c r="AN78" s="30"/>
      <c r="AX78" s="30"/>
      <c r="AY78" s="2"/>
    </row>
    <row r="79" spans="31:51" ht="15" customHeight="1" x14ac:dyDescent="0.25">
      <c r="AE79" s="30"/>
      <c r="AH79" s="25"/>
      <c r="AI79" s="25"/>
      <c r="AJ79" s="25">
        <f>-AJ61</f>
        <v>0</v>
      </c>
      <c r="AK79" s="25">
        <f>AK61</f>
        <v>0</v>
      </c>
      <c r="AL79" s="25"/>
      <c r="AM79" s="25"/>
      <c r="AN79" s="30"/>
      <c r="AX79" s="30"/>
      <c r="AY79" s="2"/>
    </row>
    <row r="80" spans="31:51" ht="15" customHeight="1" x14ac:dyDescent="0.25">
      <c r="AE80" s="30"/>
      <c r="AF80" s="33"/>
      <c r="AG80" s="33"/>
      <c r="AH80" s="76"/>
      <c r="AI80" s="76"/>
      <c r="AJ80" s="24">
        <f>-AJ60</f>
        <v>0</v>
      </c>
      <c r="AK80" s="24">
        <f>AK60</f>
        <v>0</v>
      </c>
      <c r="AL80" s="76"/>
      <c r="AM80" s="76"/>
      <c r="AN80" s="30"/>
      <c r="AX80" s="30"/>
      <c r="AY80" s="2"/>
    </row>
    <row r="81" spans="31:51" ht="15" customHeight="1" x14ac:dyDescent="0.25">
      <c r="AE81" s="30"/>
      <c r="AH81" s="75"/>
      <c r="AI81" s="75"/>
      <c r="AJ81" s="25">
        <f>-AJ59</f>
        <v>0</v>
      </c>
      <c r="AK81" s="25">
        <f>AK59</f>
        <v>0</v>
      </c>
      <c r="AL81" s="75"/>
      <c r="AM81" s="75"/>
      <c r="AN81" s="30"/>
      <c r="AX81" s="30"/>
      <c r="AY81" s="2"/>
    </row>
    <row r="82" spans="31:51" ht="15" customHeight="1" x14ac:dyDescent="0.25">
      <c r="AE82" s="30"/>
      <c r="AH82" s="75"/>
      <c r="AI82" s="75"/>
      <c r="AJ82" s="25">
        <f>-AJ58</f>
        <v>0</v>
      </c>
      <c r="AK82" s="25">
        <f>AK58</f>
        <v>0</v>
      </c>
      <c r="AL82" s="75"/>
      <c r="AM82" s="75"/>
      <c r="AN82" s="30"/>
      <c r="AX82" s="30"/>
      <c r="AY82" s="2"/>
    </row>
    <row r="83" spans="31:51" ht="15" customHeight="1" x14ac:dyDescent="0.25">
      <c r="AE83" s="30"/>
      <c r="AH83" s="75"/>
      <c r="AI83" s="75"/>
      <c r="AJ83" s="25">
        <f>-AJ57</f>
        <v>0</v>
      </c>
      <c r="AK83" s="25">
        <f>AK57</f>
        <v>0</v>
      </c>
      <c r="AL83" s="75"/>
      <c r="AM83" s="75"/>
      <c r="AN83" s="30"/>
      <c r="AX83" s="30"/>
      <c r="AY83" s="2"/>
    </row>
    <row r="84" spans="31:51" ht="15" customHeight="1" x14ac:dyDescent="0.25">
      <c r="AE84" s="30"/>
      <c r="AF84" s="30"/>
      <c r="AG84" s="30"/>
      <c r="AH84" s="31"/>
      <c r="AI84" s="31"/>
      <c r="AJ84" s="31"/>
      <c r="AK84" s="31"/>
      <c r="AL84" s="31"/>
      <c r="AM84" s="31"/>
      <c r="AN84" s="30"/>
      <c r="AO84" s="30"/>
      <c r="AP84" s="30"/>
      <c r="AQ84" s="30"/>
      <c r="AR84" s="30"/>
      <c r="AS84" s="30"/>
      <c r="AT84" s="30"/>
      <c r="AU84" s="30"/>
      <c r="AV84" s="30"/>
      <c r="AW84" s="30"/>
      <c r="AX84" s="30"/>
      <c r="AY84" s="2"/>
    </row>
    <row r="85" spans="31:51" ht="15" customHeight="1" x14ac:dyDescent="0.25">
      <c r="AE85" s="30"/>
      <c r="AF85" s="27" t="s">
        <v>316</v>
      </c>
      <c r="AG85" s="27" t="s">
        <v>357</v>
      </c>
      <c r="AH85" s="82" t="s">
        <v>313</v>
      </c>
      <c r="AI85" s="82"/>
      <c r="AJ85" s="82" t="s">
        <v>9</v>
      </c>
      <c r="AK85" s="82"/>
      <c r="AL85" s="82" t="s">
        <v>388</v>
      </c>
      <c r="AM85" s="82"/>
      <c r="AN85" s="30"/>
      <c r="AO85" s="27" t="s">
        <v>357</v>
      </c>
      <c r="AP85" s="75" t="s">
        <v>357</v>
      </c>
      <c r="AQ85" s="75" t="s">
        <v>357</v>
      </c>
      <c r="AR85" s="75" t="s">
        <v>357</v>
      </c>
      <c r="AS85" s="75" t="s">
        <v>357</v>
      </c>
      <c r="AT85" s="75" t="s">
        <v>357</v>
      </c>
      <c r="AU85" s="75" t="s">
        <v>357</v>
      </c>
      <c r="AV85" s="75" t="s">
        <v>357</v>
      </c>
      <c r="AW85" s="75" t="s">
        <v>357</v>
      </c>
      <c r="AX85" s="30"/>
      <c r="AY85" s="2"/>
    </row>
    <row r="86" spans="31:51" ht="15" customHeight="1" x14ac:dyDescent="0.25">
      <c r="AE86" s="30"/>
      <c r="AF86" s="5" t="s">
        <v>269</v>
      </c>
      <c r="AG86" s="24" cm="1">
        <f t="array" ref="AG86">IF($M$34=1,INDEX(AO86:AW86,1,$M$30),0)*$M$31</f>
        <v>20</v>
      </c>
      <c r="AH86" s="70" t="s">
        <v>312</v>
      </c>
      <c r="AI86" s="70" t="s">
        <v>28</v>
      </c>
      <c r="AJ86" s="70" t="s">
        <v>312</v>
      </c>
      <c r="AK86" s="70" t="s">
        <v>28</v>
      </c>
      <c r="AL86" s="70" t="s">
        <v>312</v>
      </c>
      <c r="AM86" s="70" t="s">
        <v>28</v>
      </c>
      <c r="AN86" s="30"/>
      <c r="AO86" s="24">
        <f>Calculs!E199</f>
        <v>20</v>
      </c>
      <c r="AP86" s="24">
        <f>Calculs!F199</f>
        <v>20</v>
      </c>
      <c r="AQ86" s="24">
        <f>Calculs!G199</f>
        <v>20</v>
      </c>
      <c r="AR86" s="24">
        <f>Calculs!H199</f>
        <v>20</v>
      </c>
      <c r="AS86" s="24">
        <f>Calculs!I199</f>
        <v>20</v>
      </c>
      <c r="AT86" s="24">
        <f>Calculs!J199</f>
        <v>20</v>
      </c>
      <c r="AU86" s="24">
        <f>Calculs!K199</f>
        <v>20</v>
      </c>
      <c r="AV86" s="24">
        <f>Calculs!L199</f>
        <v>20</v>
      </c>
      <c r="AW86" s="24">
        <f>Calculs!M199</f>
        <v>20</v>
      </c>
      <c r="AX86" s="30"/>
      <c r="AY86" s="2"/>
    </row>
    <row r="87" spans="31:51" ht="15" customHeight="1" x14ac:dyDescent="0.25">
      <c r="AE87" s="30"/>
      <c r="AF87" s="5" t="s">
        <v>270</v>
      </c>
      <c r="AG87" s="24" cm="1">
        <f t="array" ref="AG87">IF($M$34=1,INDEX(AO87:AW87,1,$M$30),0)*$M$31</f>
        <v>20</v>
      </c>
      <c r="AH87" s="25">
        <v>0</v>
      </c>
      <c r="AI87" s="25">
        <f>AK101+(AG86-AG87)/2</f>
        <v>560</v>
      </c>
      <c r="AJ87" s="25">
        <v>0</v>
      </c>
      <c r="AK87" s="25">
        <v>0</v>
      </c>
      <c r="AL87" s="25">
        <v>0</v>
      </c>
      <c r="AM87" s="25">
        <f>-(AG86-AG87)/2</f>
        <v>0</v>
      </c>
      <c r="AN87" s="30"/>
      <c r="AO87" s="24">
        <f>Calculs!E200</f>
        <v>20</v>
      </c>
      <c r="AP87" s="24">
        <f>Calculs!F200</f>
        <v>20</v>
      </c>
      <c r="AQ87" s="24">
        <f>Calculs!G200</f>
        <v>20</v>
      </c>
      <c r="AR87" s="24">
        <f>Calculs!H200</f>
        <v>9.375</v>
      </c>
      <c r="AS87" s="24">
        <f>Calculs!I200</f>
        <v>9.0517241379310338</v>
      </c>
      <c r="AT87" s="24">
        <f>Calculs!J200</f>
        <v>9.375</v>
      </c>
      <c r="AU87" s="24">
        <f>Calculs!K200</f>
        <v>9.375</v>
      </c>
      <c r="AV87" s="24">
        <f>Calculs!L200</f>
        <v>9.0517241379310338</v>
      </c>
      <c r="AW87" s="24">
        <f>Calculs!M200</f>
        <v>9.0517241379310338</v>
      </c>
      <c r="AX87" s="30"/>
      <c r="AY87" s="2"/>
    </row>
    <row r="88" spans="31:51" ht="15" customHeight="1" x14ac:dyDescent="0.25">
      <c r="AE88" s="30"/>
      <c r="AF88" s="5" t="s">
        <v>271</v>
      </c>
      <c r="AG88" s="6" cm="1">
        <f t="array" ref="AG88">IF($M$34=1,INDEX(AO88:AW88,1,$M$30),0)</f>
        <v>117</v>
      </c>
      <c r="AH88" s="25">
        <f>-AG89/2</f>
        <v>-8</v>
      </c>
      <c r="AI88" s="25">
        <f>AI87</f>
        <v>560</v>
      </c>
      <c r="AJ88" s="25">
        <f>-AG99/2</f>
        <v>0</v>
      </c>
      <c r="AK88" s="25">
        <v>0</v>
      </c>
      <c r="AL88" s="25">
        <f>-AG93/2</f>
        <v>-8</v>
      </c>
      <c r="AM88" s="25">
        <f>AM87</f>
        <v>0</v>
      </c>
      <c r="AN88" s="30"/>
      <c r="AO88" s="6">
        <f>Calculs!E201</f>
        <v>117</v>
      </c>
      <c r="AP88" s="6">
        <f>Calculs!F201</f>
        <v>117</v>
      </c>
      <c r="AQ88" s="6">
        <f>Calculs!G201</f>
        <v>117</v>
      </c>
      <c r="AR88" s="6">
        <f>Calculs!H201</f>
        <v>82</v>
      </c>
      <c r="AS88" s="6">
        <f>Calculs!I201</f>
        <v>0</v>
      </c>
      <c r="AT88" s="6">
        <f>Calculs!J201</f>
        <v>82</v>
      </c>
      <c r="AU88" s="6">
        <f>Calculs!K201</f>
        <v>82</v>
      </c>
      <c r="AV88" s="6">
        <f>Calculs!L201</f>
        <v>0</v>
      </c>
      <c r="AW88" s="6">
        <f>Calculs!M201</f>
        <v>0</v>
      </c>
      <c r="AX88" s="30"/>
      <c r="AY88" s="2"/>
    </row>
    <row r="89" spans="31:51" ht="15" customHeight="1" x14ac:dyDescent="0.25">
      <c r="AE89" s="30"/>
      <c r="AF89" s="5" t="s">
        <v>272</v>
      </c>
      <c r="AG89" s="6" cm="1">
        <f t="array" ref="AG89">IF($M$34=1,INDEX(AO89:AW89,1,$M$30),0)</f>
        <v>16</v>
      </c>
      <c r="AH89" s="25">
        <f>AH88</f>
        <v>-8</v>
      </c>
      <c r="AI89" s="25">
        <f>IF(AG88=0,AI88,AK100)</f>
        <v>560</v>
      </c>
      <c r="AJ89" s="25">
        <f>AJ88</f>
        <v>0</v>
      </c>
      <c r="AK89" s="25">
        <f>AK88+AG105</f>
        <v>0</v>
      </c>
      <c r="AL89" s="25">
        <f>AL88</f>
        <v>-8</v>
      </c>
      <c r="AM89" s="25">
        <f>IF(AG92=0,AM88,0)</f>
        <v>0</v>
      </c>
      <c r="AN89" s="30"/>
      <c r="AO89" s="6">
        <f>Calculs!E202</f>
        <v>16</v>
      </c>
      <c r="AP89" s="6">
        <f>Calculs!F202</f>
        <v>16</v>
      </c>
      <c r="AQ89" s="6">
        <f>Calculs!G202</f>
        <v>16</v>
      </c>
      <c r="AR89" s="6">
        <f>Calculs!H202</f>
        <v>86</v>
      </c>
      <c r="AS89" s="6">
        <f>Calculs!I202</f>
        <v>250</v>
      </c>
      <c r="AT89" s="6">
        <f>Calculs!J202</f>
        <v>86</v>
      </c>
      <c r="AU89" s="6">
        <f>Calculs!K202</f>
        <v>86</v>
      </c>
      <c r="AV89" s="6">
        <f>Calculs!L202</f>
        <v>250</v>
      </c>
      <c r="AW89" s="6">
        <f>Calculs!M202</f>
        <v>250</v>
      </c>
      <c r="AX89" s="30"/>
      <c r="AY89" s="2"/>
    </row>
    <row r="90" spans="31:51" ht="15" customHeight="1" x14ac:dyDescent="0.25">
      <c r="AE90" s="30"/>
      <c r="AF90" s="5" t="s">
        <v>273</v>
      </c>
      <c r="AG90" s="24" cm="1">
        <f t="array" ref="AG90">IF($M$34=1,INDEX(AO90:AW90,1,$M$30),0)*$M$31</f>
        <v>20</v>
      </c>
      <c r="AH90" s="25">
        <f>AH89-AG88</f>
        <v>-125</v>
      </c>
      <c r="AI90" s="25">
        <f>AI89</f>
        <v>560</v>
      </c>
      <c r="AJ90" s="25">
        <f>-AG98/2</f>
        <v>0</v>
      </c>
      <c r="AK90" s="25">
        <f>AK89</f>
        <v>0</v>
      </c>
      <c r="AL90" s="25">
        <f>AL89-AG92</f>
        <v>-125</v>
      </c>
      <c r="AM90" s="25">
        <f>AM89</f>
        <v>0</v>
      </c>
      <c r="AN90" s="30"/>
      <c r="AO90" s="24">
        <f>Calculs!E203</f>
        <v>20</v>
      </c>
      <c r="AP90" s="24">
        <f>Calculs!F203</f>
        <v>20</v>
      </c>
      <c r="AQ90" s="24">
        <f>Calculs!G203</f>
        <v>20</v>
      </c>
      <c r="AR90" s="24">
        <f>Calculs!H203</f>
        <v>20</v>
      </c>
      <c r="AS90" s="24">
        <f>Calculs!I203</f>
        <v>20</v>
      </c>
      <c r="AT90" s="24">
        <f>Calculs!J203</f>
        <v>20</v>
      </c>
      <c r="AU90" s="24">
        <f>Calculs!K203</f>
        <v>20</v>
      </c>
      <c r="AV90" s="24">
        <f>Calculs!L203</f>
        <v>20</v>
      </c>
      <c r="AW90" s="24">
        <f>Calculs!M203</f>
        <v>20</v>
      </c>
      <c r="AX90" s="30"/>
      <c r="AY90" s="2"/>
    </row>
    <row r="91" spans="31:51" ht="15" customHeight="1" x14ac:dyDescent="0.25">
      <c r="AE91" s="30"/>
      <c r="AF91" s="5" t="s">
        <v>274</v>
      </c>
      <c r="AG91" s="24" cm="1">
        <f t="array" ref="AG91">IF($M$34=1,INDEX(AO91:AW91,1,$M$30),0)*$M$31</f>
        <v>20</v>
      </c>
      <c r="AH91" s="25">
        <f>AH90</f>
        <v>-125</v>
      </c>
      <c r="AI91" s="25">
        <f>IF(AG88=0,AI90+AG87,AI90+AG86)</f>
        <v>580</v>
      </c>
      <c r="AJ91" s="25">
        <f>AJ90</f>
        <v>0</v>
      </c>
      <c r="AK91" s="25">
        <f>AK90+AG104</f>
        <v>0</v>
      </c>
      <c r="AL91" s="25">
        <f>AL90</f>
        <v>-125</v>
      </c>
      <c r="AM91" s="25">
        <f>IF(AG92=0,AM90-AG91,-AG90)</f>
        <v>-20</v>
      </c>
      <c r="AN91" s="30"/>
      <c r="AO91" s="24">
        <f>Calculs!E204</f>
        <v>20</v>
      </c>
      <c r="AP91" s="24">
        <f>Calculs!F204</f>
        <v>20</v>
      </c>
      <c r="AQ91" s="24">
        <f>Calculs!G204</f>
        <v>20</v>
      </c>
      <c r="AR91" s="24">
        <f>Calculs!H204</f>
        <v>9.375</v>
      </c>
      <c r="AS91" s="24">
        <f>Calculs!I204</f>
        <v>9.375</v>
      </c>
      <c r="AT91" s="24">
        <f>Calculs!J204</f>
        <v>9.0517241379310338</v>
      </c>
      <c r="AU91" s="24">
        <f>Calculs!K204</f>
        <v>9.375</v>
      </c>
      <c r="AV91" s="24">
        <f>Calculs!L204</f>
        <v>9.0517241379310338</v>
      </c>
      <c r="AW91" s="24">
        <f>Calculs!M204</f>
        <v>9.0517241379310338</v>
      </c>
      <c r="AX91" s="30"/>
      <c r="AY91" s="2"/>
    </row>
    <row r="92" spans="31:51" ht="15" customHeight="1" x14ac:dyDescent="0.25">
      <c r="AE92" s="30"/>
      <c r="AF92" s="5" t="s">
        <v>275</v>
      </c>
      <c r="AG92" s="6" cm="1">
        <f t="array" ref="AG92">IF($M$34=1,INDEX(AO92:AW92,1,$M$30),0)</f>
        <v>117</v>
      </c>
      <c r="AH92" s="25">
        <f>AH89</f>
        <v>-8</v>
      </c>
      <c r="AI92" s="25">
        <f>AI91</f>
        <v>580</v>
      </c>
      <c r="AJ92" s="25">
        <f>-AG97/2</f>
        <v>0</v>
      </c>
      <c r="AK92" s="25">
        <f>AK91</f>
        <v>0</v>
      </c>
      <c r="AL92" s="25">
        <f>AL89</f>
        <v>-8</v>
      </c>
      <c r="AM92" s="25">
        <f>AM91</f>
        <v>-20</v>
      </c>
      <c r="AN92" s="30"/>
      <c r="AO92" s="6">
        <f>Calculs!E205</f>
        <v>117</v>
      </c>
      <c r="AP92" s="6">
        <f>Calculs!F205</f>
        <v>117</v>
      </c>
      <c r="AQ92" s="6">
        <f>Calculs!G205</f>
        <v>117</v>
      </c>
      <c r="AR92" s="6">
        <f>Calculs!H205</f>
        <v>82</v>
      </c>
      <c r="AS92" s="6">
        <f>Calculs!I205</f>
        <v>82</v>
      </c>
      <c r="AT92" s="6">
        <f>Calculs!J205</f>
        <v>0</v>
      </c>
      <c r="AU92" s="6">
        <f>Calculs!K205</f>
        <v>82</v>
      </c>
      <c r="AV92" s="6">
        <f>Calculs!L205</f>
        <v>0</v>
      </c>
      <c r="AW92" s="6">
        <f>Calculs!M205</f>
        <v>0</v>
      </c>
      <c r="AX92" s="30"/>
      <c r="AY92" s="2"/>
    </row>
    <row r="93" spans="31:51" ht="15" customHeight="1" x14ac:dyDescent="0.25">
      <c r="AE93" s="30"/>
      <c r="AF93" s="5" t="s">
        <v>276</v>
      </c>
      <c r="AG93" s="6" cm="1">
        <f t="array" ref="AG93">IF($M$34=1,INDEX(AO93:AW93,1,$M$30),0)</f>
        <v>16</v>
      </c>
      <c r="AH93" s="25">
        <f>AH88</f>
        <v>-8</v>
      </c>
      <c r="AI93" s="25">
        <f>IF(AG88=0,AI92,AI92-(AG86-AG87)/2)</f>
        <v>580</v>
      </c>
      <c r="AJ93" s="25">
        <f>AJ92</f>
        <v>0</v>
      </c>
      <c r="AK93" s="25">
        <f>AK92+AG103</f>
        <v>0</v>
      </c>
      <c r="AL93" s="25">
        <f>AL88</f>
        <v>-8</v>
      </c>
      <c r="AM93" s="25">
        <f>IF(AG92=0,AM92,AM92+(AG86-AG87)/2)</f>
        <v>-20</v>
      </c>
      <c r="AN93" s="30"/>
      <c r="AO93" s="6">
        <f>Calculs!E206</f>
        <v>16</v>
      </c>
      <c r="AP93" s="6">
        <f>Calculs!F206</f>
        <v>16</v>
      </c>
      <c r="AQ93" s="6">
        <f>Calculs!G206</f>
        <v>16</v>
      </c>
      <c r="AR93" s="6">
        <f>Calculs!H206</f>
        <v>86</v>
      </c>
      <c r="AS93" s="6">
        <f>Calculs!I206</f>
        <v>86</v>
      </c>
      <c r="AT93" s="6">
        <f>Calculs!J206</f>
        <v>250</v>
      </c>
      <c r="AU93" s="6">
        <f>Calculs!K206</f>
        <v>86</v>
      </c>
      <c r="AV93" s="6">
        <f>Calculs!L206</f>
        <v>250</v>
      </c>
      <c r="AW93" s="6">
        <f>Calculs!M206</f>
        <v>250</v>
      </c>
      <c r="AX93" s="30"/>
      <c r="AY93" s="2"/>
    </row>
    <row r="94" spans="31:51" ht="15" customHeight="1" x14ac:dyDescent="0.25">
      <c r="AE94" s="30"/>
      <c r="AF94" s="5" t="s">
        <v>277</v>
      </c>
      <c r="AG94" s="24" cm="1">
        <f t="array" ref="AG94">IF($M$34=1,INDEX(AO94:AW94,1,$M$30),0)*$M$31</f>
        <v>16</v>
      </c>
      <c r="AH94" s="25">
        <f>AH87</f>
        <v>0</v>
      </c>
      <c r="AI94" s="25">
        <f>AI93</f>
        <v>580</v>
      </c>
      <c r="AJ94" s="25">
        <f>-AG96/2</f>
        <v>0</v>
      </c>
      <c r="AK94" s="25">
        <f>AK93</f>
        <v>0</v>
      </c>
      <c r="AL94" s="25">
        <f>AL87</f>
        <v>0</v>
      </c>
      <c r="AM94" s="25">
        <f>AM93</f>
        <v>-20</v>
      </c>
      <c r="AN94" s="30"/>
      <c r="AO94" s="24">
        <f>Calculs!E207</f>
        <v>16</v>
      </c>
      <c r="AP94" s="24">
        <f>Calculs!F207</f>
        <v>16</v>
      </c>
      <c r="AQ94" s="24">
        <f>Calculs!G207</f>
        <v>16</v>
      </c>
      <c r="AR94" s="24">
        <f>Calculs!H207</f>
        <v>7.5</v>
      </c>
      <c r="AS94" s="24">
        <f>Calculs!I207</f>
        <v>7.5</v>
      </c>
      <c r="AT94" s="24">
        <f>Calculs!J207</f>
        <v>7.5</v>
      </c>
      <c r="AU94" s="24">
        <f>Calculs!K207</f>
        <v>9.375</v>
      </c>
      <c r="AV94" s="24">
        <f>Calculs!L207</f>
        <v>9.375</v>
      </c>
      <c r="AW94" s="24">
        <f>Calculs!M207</f>
        <v>9.375</v>
      </c>
      <c r="AX94" s="30"/>
      <c r="AY94" s="2"/>
    </row>
    <row r="95" spans="31:51" ht="15" customHeight="1" x14ac:dyDescent="0.25">
      <c r="AE95" s="30"/>
      <c r="AF95" s="5" t="s">
        <v>278</v>
      </c>
      <c r="AG95" s="24" cm="1">
        <f t="array" ref="AG95">IF($M$34=1,INDEX(AO95:AW95,1,$M$30),0)*$M$31</f>
        <v>16</v>
      </c>
      <c r="AH95" s="25">
        <f>-AH93</f>
        <v>8</v>
      </c>
      <c r="AI95" s="25">
        <f>AI93</f>
        <v>580</v>
      </c>
      <c r="AJ95" s="25">
        <f>AJ94</f>
        <v>0</v>
      </c>
      <c r="AK95" s="25">
        <f>AK94+AG102</f>
        <v>0</v>
      </c>
      <c r="AL95" s="25">
        <f>-AL93</f>
        <v>8</v>
      </c>
      <c r="AM95" s="25">
        <f>AM93</f>
        <v>-20</v>
      </c>
      <c r="AN95" s="30"/>
      <c r="AO95" s="24">
        <f>Calculs!E208</f>
        <v>16</v>
      </c>
      <c r="AP95" s="24">
        <f>Calculs!F208</f>
        <v>16</v>
      </c>
      <c r="AQ95" s="24">
        <f>Calculs!G208</f>
        <v>16</v>
      </c>
      <c r="AR95" s="24">
        <f>Calculs!H208</f>
        <v>7.5</v>
      </c>
      <c r="AS95" s="24">
        <f>Calculs!I208</f>
        <v>7.5</v>
      </c>
      <c r="AT95" s="24">
        <f>Calculs!J208</f>
        <v>7.5</v>
      </c>
      <c r="AU95" s="24">
        <f>Calculs!K208</f>
        <v>9.375</v>
      </c>
      <c r="AV95" s="24">
        <f>Calculs!L208</f>
        <v>9.375</v>
      </c>
      <c r="AW95" s="24">
        <f>Calculs!M208</f>
        <v>9.375</v>
      </c>
      <c r="AX95" s="30"/>
      <c r="AY95" s="2"/>
    </row>
    <row r="96" spans="31:51" ht="15" customHeight="1" x14ac:dyDescent="0.25">
      <c r="AE96" s="30"/>
      <c r="AF96" s="5" t="s">
        <v>279</v>
      </c>
      <c r="AG96" s="24" cm="1">
        <f t="array" ref="AG96">IF($M$34=1,INDEX(AO96:AW96,1,$M$30),0)*$M$31</f>
        <v>0</v>
      </c>
      <c r="AH96" s="25">
        <f>-AH92</f>
        <v>8</v>
      </c>
      <c r="AI96" s="25">
        <f>AI92</f>
        <v>580</v>
      </c>
      <c r="AJ96" s="25">
        <f>-AG95/2</f>
        <v>-8</v>
      </c>
      <c r="AK96" s="25">
        <f>AK95</f>
        <v>0</v>
      </c>
      <c r="AL96" s="25">
        <f>-AL92</f>
        <v>8</v>
      </c>
      <c r="AM96" s="25">
        <f>AM92</f>
        <v>-20</v>
      </c>
      <c r="AN96" s="30"/>
      <c r="AO96" s="24">
        <f>Calculs!E209</f>
        <v>0</v>
      </c>
      <c r="AP96" s="24">
        <f>Calculs!F209</f>
        <v>16</v>
      </c>
      <c r="AQ96" s="24">
        <f>Calculs!G209</f>
        <v>11.666666666666666</v>
      </c>
      <c r="AR96" s="24">
        <f>Calculs!H209</f>
        <v>16</v>
      </c>
      <c r="AS96" s="24">
        <f>Calculs!I209</f>
        <v>16</v>
      </c>
      <c r="AT96" s="24">
        <f>Calculs!J209</f>
        <v>16</v>
      </c>
      <c r="AU96" s="24">
        <f>Calculs!K209</f>
        <v>16</v>
      </c>
      <c r="AV96" s="24">
        <f>Calculs!L209</f>
        <v>16</v>
      </c>
      <c r="AW96" s="24">
        <f>Calculs!M209</f>
        <v>16</v>
      </c>
      <c r="AX96" s="30"/>
      <c r="AY96" s="2"/>
    </row>
    <row r="97" spans="31:51" ht="15" customHeight="1" x14ac:dyDescent="0.25">
      <c r="AE97" s="30"/>
      <c r="AF97" s="5" t="s">
        <v>280</v>
      </c>
      <c r="AG97" s="24" cm="1">
        <f t="array" ref="AG97">IF($M$34=1,INDEX(AO97:AW97,1,$M$30),0)*$M$31</f>
        <v>0</v>
      </c>
      <c r="AH97" s="25">
        <f>-AH91</f>
        <v>125</v>
      </c>
      <c r="AI97" s="25">
        <f>AI91</f>
        <v>580</v>
      </c>
      <c r="AJ97" s="25">
        <f>AJ96</f>
        <v>-8</v>
      </c>
      <c r="AK97" s="25">
        <f>AK96+AG101</f>
        <v>555</v>
      </c>
      <c r="AL97" s="25">
        <f>-AL91</f>
        <v>125</v>
      </c>
      <c r="AM97" s="25">
        <f>AM91</f>
        <v>-20</v>
      </c>
      <c r="AN97" s="30"/>
      <c r="AO97" s="24">
        <f>Calculs!E210</f>
        <v>0</v>
      </c>
      <c r="AP97" s="24">
        <f>Calculs!F210</f>
        <v>16</v>
      </c>
      <c r="AQ97" s="24">
        <f>Calculs!G210</f>
        <v>16</v>
      </c>
      <c r="AR97" s="24">
        <f>Calculs!H210</f>
        <v>7.5</v>
      </c>
      <c r="AS97" s="24">
        <f>Calculs!I210</f>
        <v>7.5</v>
      </c>
      <c r="AT97" s="24">
        <f>Calculs!J210</f>
        <v>7.5</v>
      </c>
      <c r="AU97" s="24">
        <f>Calculs!K210</f>
        <v>16</v>
      </c>
      <c r="AV97" s="24">
        <f>Calculs!L210</f>
        <v>16</v>
      </c>
      <c r="AW97" s="24">
        <f>Calculs!M210</f>
        <v>16</v>
      </c>
      <c r="AX97" s="30"/>
      <c r="AY97" s="2"/>
    </row>
    <row r="98" spans="31:51" ht="15" customHeight="1" x14ac:dyDescent="0.25">
      <c r="AE98" s="30"/>
      <c r="AF98" s="5" t="s">
        <v>281</v>
      </c>
      <c r="AG98" s="24" cm="1">
        <f t="array" ref="AG98">IF($M$34=1,INDEX(AO98:AW98,1,$M$30),0)*$M$31</f>
        <v>0</v>
      </c>
      <c r="AH98" s="25">
        <f>-AH90</f>
        <v>125</v>
      </c>
      <c r="AI98" s="25">
        <f>AI90</f>
        <v>560</v>
      </c>
      <c r="AJ98" s="25">
        <f>-AG94/2</f>
        <v>-8</v>
      </c>
      <c r="AK98" s="25">
        <f>AK97</f>
        <v>555</v>
      </c>
      <c r="AL98" s="25">
        <f>-AL90</f>
        <v>125</v>
      </c>
      <c r="AM98" s="25">
        <f>AM90</f>
        <v>0</v>
      </c>
      <c r="AN98" s="30"/>
      <c r="AO98" s="24">
        <f>Calculs!E211</f>
        <v>0</v>
      </c>
      <c r="AP98" s="24">
        <f>Calculs!F211</f>
        <v>0</v>
      </c>
      <c r="AQ98" s="24">
        <f>Calculs!G211</f>
        <v>11.666666666666666</v>
      </c>
      <c r="AR98" s="24">
        <f>Calculs!H211</f>
        <v>0</v>
      </c>
      <c r="AS98" s="24">
        <f>Calculs!I211</f>
        <v>0</v>
      </c>
      <c r="AT98" s="24">
        <f>Calculs!J211</f>
        <v>0</v>
      </c>
      <c r="AU98" s="24">
        <f>Calculs!K211</f>
        <v>16</v>
      </c>
      <c r="AV98" s="24">
        <f>Calculs!L211</f>
        <v>16</v>
      </c>
      <c r="AW98" s="24">
        <f>Calculs!M211</f>
        <v>16</v>
      </c>
      <c r="AX98" s="30"/>
      <c r="AY98" s="2"/>
    </row>
    <row r="99" spans="31:51" ht="15" customHeight="1" x14ac:dyDescent="0.25">
      <c r="AE99" s="30"/>
      <c r="AF99" s="75" t="s">
        <v>416</v>
      </c>
      <c r="AG99" s="24" cm="1">
        <f t="array" ref="AG99">IF($M$34=1,INDEX(AO99:AW99,1,$M$30),0)*$M$31</f>
        <v>0</v>
      </c>
      <c r="AH99" s="25">
        <f>-AH89</f>
        <v>8</v>
      </c>
      <c r="AI99" s="25">
        <f>AI89</f>
        <v>560</v>
      </c>
      <c r="AJ99" s="25">
        <f>AJ98</f>
        <v>-8</v>
      </c>
      <c r="AK99" s="25">
        <f>AK98+AG100</f>
        <v>560</v>
      </c>
      <c r="AL99" s="25">
        <f>-AL89</f>
        <v>8</v>
      </c>
      <c r="AM99" s="25">
        <f>AM89</f>
        <v>0</v>
      </c>
      <c r="AN99" s="30"/>
      <c r="AO99" s="24">
        <f>Calculs!E212</f>
        <v>0</v>
      </c>
      <c r="AP99" s="24">
        <f>Calculs!F212</f>
        <v>0</v>
      </c>
      <c r="AQ99" s="24">
        <f>Calculs!G212</f>
        <v>16</v>
      </c>
      <c r="AR99" s="24">
        <f>Calculs!H212</f>
        <v>0</v>
      </c>
      <c r="AS99" s="24">
        <f>Calculs!I212</f>
        <v>0</v>
      </c>
      <c r="AT99" s="24">
        <f>Calculs!J212</f>
        <v>0</v>
      </c>
      <c r="AU99" s="24">
        <f>Calculs!K212</f>
        <v>9.375</v>
      </c>
      <c r="AV99" s="24">
        <f>Calculs!L212</f>
        <v>9.375</v>
      </c>
      <c r="AW99" s="24">
        <f>Calculs!M212</f>
        <v>9.375</v>
      </c>
      <c r="AX99" s="30"/>
      <c r="AY99" s="2"/>
    </row>
    <row r="100" spans="31:51" ht="15" customHeight="1" x14ac:dyDescent="0.25">
      <c r="AE100" s="30"/>
      <c r="AF100" s="5" t="s">
        <v>282</v>
      </c>
      <c r="AG100" s="6" cm="1">
        <f t="array" ref="AG100">IF($M$34=1,INDEX(AO100:AW100,1,$M$30),0)</f>
        <v>5</v>
      </c>
      <c r="AH100" s="25">
        <f>-AH88</f>
        <v>8</v>
      </c>
      <c r="AI100" s="25">
        <f>AI88</f>
        <v>560</v>
      </c>
      <c r="AJ100" s="25">
        <v>0</v>
      </c>
      <c r="AK100" s="25">
        <f>AK99</f>
        <v>560</v>
      </c>
      <c r="AL100" s="25">
        <f>-AL88</f>
        <v>8</v>
      </c>
      <c r="AM100" s="25">
        <f>AM88</f>
        <v>0</v>
      </c>
      <c r="AN100" s="30"/>
      <c r="AO100" s="6">
        <f>Calculs!E213</f>
        <v>5</v>
      </c>
      <c r="AP100" s="6">
        <f>Calculs!F213</f>
        <v>5</v>
      </c>
      <c r="AQ100" s="6">
        <f>Calculs!G213</f>
        <v>5</v>
      </c>
      <c r="AR100" s="6">
        <f>Calculs!H213</f>
        <v>5</v>
      </c>
      <c r="AS100" s="6">
        <f>Calculs!I213</f>
        <v>5</v>
      </c>
      <c r="AT100" s="6">
        <f>Calculs!J213</f>
        <v>5</v>
      </c>
      <c r="AU100" s="6">
        <f>Calculs!K213</f>
        <v>5</v>
      </c>
      <c r="AV100" s="6">
        <f>Calculs!L213</f>
        <v>5</v>
      </c>
      <c r="AW100" s="6">
        <f>Calculs!M213</f>
        <v>5</v>
      </c>
      <c r="AX100" s="30"/>
      <c r="AY100" s="2"/>
    </row>
    <row r="101" spans="31:51" ht="15" customHeight="1" x14ac:dyDescent="0.25">
      <c r="AE101" s="30"/>
      <c r="AF101" s="5" t="s">
        <v>283</v>
      </c>
      <c r="AG101" s="6" cm="1">
        <f t="array" ref="AG101">IF($M$34=1,INDEX(AO101:AW101,1,$M$30),0)</f>
        <v>555</v>
      </c>
      <c r="AH101" s="25">
        <f>-AH87</f>
        <v>0</v>
      </c>
      <c r="AI101" s="25">
        <f>AI87</f>
        <v>560</v>
      </c>
      <c r="AJ101" s="25">
        <f>-AJ99</f>
        <v>8</v>
      </c>
      <c r="AK101" s="25">
        <f>AK99</f>
        <v>560</v>
      </c>
      <c r="AL101" s="25">
        <f>-AL87</f>
        <v>0</v>
      </c>
      <c r="AM101" s="25">
        <f>AM87</f>
        <v>0</v>
      </c>
      <c r="AN101" s="30"/>
      <c r="AO101" s="6">
        <f>Calculs!E214</f>
        <v>555</v>
      </c>
      <c r="AP101" s="6">
        <f>Calculs!F214</f>
        <v>240</v>
      </c>
      <c r="AQ101" s="6">
        <f>Calculs!G214</f>
        <v>60</v>
      </c>
      <c r="AR101" s="6">
        <f>Calculs!H214</f>
        <v>30</v>
      </c>
      <c r="AS101" s="6">
        <f>Calculs!I214</f>
        <v>30</v>
      </c>
      <c r="AT101" s="6">
        <f>Calculs!J214</f>
        <v>30</v>
      </c>
      <c r="AU101" s="6">
        <f>Calculs!K214</f>
        <v>107</v>
      </c>
      <c r="AV101" s="6">
        <f>Calculs!L214</f>
        <v>107</v>
      </c>
      <c r="AW101" s="6">
        <f>Calculs!M214</f>
        <v>107</v>
      </c>
      <c r="AX101" s="30"/>
      <c r="AY101" s="2"/>
    </row>
    <row r="102" spans="31:51" ht="15" customHeight="1" x14ac:dyDescent="0.25">
      <c r="AE102" s="30"/>
      <c r="AF102" s="5" t="s">
        <v>284</v>
      </c>
      <c r="AG102" s="6" cm="1">
        <f t="array" ref="AG102">IF($M$34=1,INDEX(AO102:AW102,1,$M$30),0)</f>
        <v>0</v>
      </c>
      <c r="AH102" s="25"/>
      <c r="AI102" s="25"/>
      <c r="AJ102" s="25">
        <f>-AJ98</f>
        <v>8</v>
      </c>
      <c r="AK102" s="25">
        <f>AK98</f>
        <v>555</v>
      </c>
      <c r="AL102" s="25"/>
      <c r="AM102" s="25"/>
      <c r="AN102" s="30"/>
      <c r="AO102" s="6">
        <f>Calculs!E215</f>
        <v>0</v>
      </c>
      <c r="AP102" s="6">
        <f>Calculs!F215</f>
        <v>70</v>
      </c>
      <c r="AQ102" s="6">
        <f>Calculs!G215</f>
        <v>70</v>
      </c>
      <c r="AR102" s="6">
        <f>Calculs!H215</f>
        <v>490</v>
      </c>
      <c r="AS102" s="6">
        <f>Calculs!I215</f>
        <v>490</v>
      </c>
      <c r="AT102" s="6">
        <f>Calculs!J215</f>
        <v>490</v>
      </c>
      <c r="AU102" s="6">
        <f>Calculs!K215</f>
        <v>112</v>
      </c>
      <c r="AV102" s="6">
        <f>Calculs!L215</f>
        <v>112</v>
      </c>
      <c r="AW102" s="6">
        <f>Calculs!M215</f>
        <v>112</v>
      </c>
      <c r="AX102" s="30"/>
      <c r="AY102" s="2"/>
    </row>
    <row r="103" spans="31:51" ht="15" customHeight="1" x14ac:dyDescent="0.25">
      <c r="AE103" s="30"/>
      <c r="AF103" s="5" t="s">
        <v>285</v>
      </c>
      <c r="AG103" s="6" cm="1">
        <f t="array" ref="AG103">IF($M$34=1,INDEX(AO103:AW103,1,$M$30),0)</f>
        <v>0</v>
      </c>
      <c r="AH103" s="25"/>
      <c r="AI103" s="25"/>
      <c r="AJ103" s="25">
        <f>-AJ97</f>
        <v>8</v>
      </c>
      <c r="AK103" s="25">
        <f>AK97</f>
        <v>555</v>
      </c>
      <c r="AL103" s="25"/>
      <c r="AM103" s="25"/>
      <c r="AN103" s="30"/>
      <c r="AO103" s="6">
        <f>Calculs!E216</f>
        <v>0</v>
      </c>
      <c r="AP103" s="6">
        <f>Calculs!F216</f>
        <v>245</v>
      </c>
      <c r="AQ103" s="6">
        <f>Calculs!G216</f>
        <v>290</v>
      </c>
      <c r="AR103" s="6">
        <f>Calculs!H216</f>
        <v>35</v>
      </c>
      <c r="AS103" s="6">
        <f>Calculs!I216</f>
        <v>35</v>
      </c>
      <c r="AT103" s="6">
        <f>Calculs!J216</f>
        <v>35</v>
      </c>
      <c r="AU103" s="6">
        <f>Calculs!K216</f>
        <v>112</v>
      </c>
      <c r="AV103" s="6">
        <f>Calculs!L216</f>
        <v>112</v>
      </c>
      <c r="AW103" s="6">
        <f>Calculs!M216</f>
        <v>112</v>
      </c>
      <c r="AX103" s="30"/>
      <c r="AY103" s="2"/>
    </row>
    <row r="104" spans="31:51" ht="15" customHeight="1" x14ac:dyDescent="0.25">
      <c r="AE104" s="30"/>
      <c r="AF104" s="5" t="s">
        <v>286</v>
      </c>
      <c r="AG104" s="6" cm="1">
        <f t="array" ref="AG104">IF($M$34=1,INDEX(AO104:AW104,1,$M$30),0)</f>
        <v>0</v>
      </c>
      <c r="AH104" s="25"/>
      <c r="AI104" s="25"/>
      <c r="AJ104" s="25">
        <f>-AJ96</f>
        <v>8</v>
      </c>
      <c r="AK104" s="25">
        <f>AK96</f>
        <v>0</v>
      </c>
      <c r="AL104" s="25"/>
      <c r="AM104" s="25"/>
      <c r="AN104" s="30"/>
      <c r="AO104" s="6">
        <f>Calculs!E217</f>
        <v>0</v>
      </c>
      <c r="AP104" s="6">
        <f>Calculs!F217</f>
        <v>0</v>
      </c>
      <c r="AQ104" s="6">
        <f>Calculs!G217</f>
        <v>70</v>
      </c>
      <c r="AR104" s="6">
        <f>Calculs!H217</f>
        <v>0</v>
      </c>
      <c r="AS104" s="6">
        <f>Calculs!I217</f>
        <v>0</v>
      </c>
      <c r="AT104" s="6">
        <f>Calculs!J217</f>
        <v>0</v>
      </c>
      <c r="AU104" s="6">
        <f>Calculs!K217</f>
        <v>112</v>
      </c>
      <c r="AV104" s="6">
        <f>Calculs!L217</f>
        <v>112</v>
      </c>
      <c r="AW104" s="6">
        <f>Calculs!M217</f>
        <v>112</v>
      </c>
      <c r="AX104" s="30"/>
    </row>
    <row r="105" spans="31:51" ht="15" customHeight="1" x14ac:dyDescent="0.25">
      <c r="AE105" s="30"/>
      <c r="AF105" s="75" t="s">
        <v>419</v>
      </c>
      <c r="AG105" s="6" cm="1">
        <f t="array" ref="AG105">IF($M$34=1,INDEX(AO105:AW105,1,$M$30),0)</f>
        <v>0</v>
      </c>
      <c r="AH105" s="25"/>
      <c r="AI105" s="25"/>
      <c r="AJ105" s="25">
        <f>-AJ95</f>
        <v>0</v>
      </c>
      <c r="AK105" s="25">
        <f>AK95</f>
        <v>0</v>
      </c>
      <c r="AL105" s="25"/>
      <c r="AM105" s="25"/>
      <c r="AN105" s="30"/>
      <c r="AO105" s="6">
        <f>Calculs!E218</f>
        <v>0</v>
      </c>
      <c r="AP105" s="6">
        <f>Calculs!F218</f>
        <v>0</v>
      </c>
      <c r="AQ105" s="6">
        <f>Calculs!G218</f>
        <v>65</v>
      </c>
      <c r="AR105" s="6">
        <f>Calculs!H218</f>
        <v>0</v>
      </c>
      <c r="AS105" s="6">
        <f>Calculs!I218</f>
        <v>0</v>
      </c>
      <c r="AT105" s="6">
        <f>Calculs!J218</f>
        <v>0</v>
      </c>
      <c r="AU105" s="6">
        <f>Calculs!K218</f>
        <v>112</v>
      </c>
      <c r="AV105" s="6">
        <f>Calculs!L218</f>
        <v>112</v>
      </c>
      <c r="AW105" s="6">
        <f>Calculs!M218</f>
        <v>112</v>
      </c>
      <c r="AX105" s="30"/>
    </row>
    <row r="106" spans="31:51" ht="15" customHeight="1" x14ac:dyDescent="0.25">
      <c r="AE106" s="30"/>
      <c r="AH106" s="25"/>
      <c r="AI106" s="25"/>
      <c r="AJ106" s="25">
        <f>-AJ94</f>
        <v>0</v>
      </c>
      <c r="AK106" s="25">
        <f>AK94</f>
        <v>0</v>
      </c>
      <c r="AL106" s="25"/>
      <c r="AM106" s="25"/>
      <c r="AN106" s="30"/>
      <c r="AX106" s="30"/>
    </row>
    <row r="107" spans="31:51" ht="15" customHeight="1" x14ac:dyDescent="0.25">
      <c r="AE107" s="30"/>
      <c r="AH107" s="25"/>
      <c r="AI107" s="25"/>
      <c r="AJ107" s="25">
        <f>-AJ93</f>
        <v>0</v>
      </c>
      <c r="AK107" s="25">
        <f>AK93</f>
        <v>0</v>
      </c>
      <c r="AL107" s="25"/>
      <c r="AM107" s="25"/>
      <c r="AN107" s="30"/>
      <c r="AX107" s="30"/>
    </row>
    <row r="108" spans="31:51" ht="15" customHeight="1" x14ac:dyDescent="0.25">
      <c r="AE108" s="30"/>
      <c r="AH108" s="25"/>
      <c r="AI108" s="25"/>
      <c r="AJ108" s="25">
        <f>-AJ92</f>
        <v>0</v>
      </c>
      <c r="AK108" s="25">
        <f>AK92</f>
        <v>0</v>
      </c>
      <c r="AL108" s="25"/>
      <c r="AM108" s="25"/>
      <c r="AN108" s="30"/>
      <c r="AX108" s="30"/>
    </row>
    <row r="109" spans="31:51" ht="15" customHeight="1" x14ac:dyDescent="0.25">
      <c r="AE109" s="30"/>
      <c r="AH109" s="25"/>
      <c r="AI109" s="25"/>
      <c r="AJ109" s="25">
        <f>-AJ91</f>
        <v>0</v>
      </c>
      <c r="AK109" s="25">
        <f>AK91</f>
        <v>0</v>
      </c>
      <c r="AL109" s="25"/>
      <c r="AM109" s="25"/>
      <c r="AN109" s="30"/>
      <c r="AX109" s="30"/>
    </row>
    <row r="110" spans="31:51" ht="15" customHeight="1" x14ac:dyDescent="0.25">
      <c r="AE110" s="30"/>
      <c r="AF110" s="33"/>
      <c r="AG110" s="33"/>
      <c r="AH110" s="76"/>
      <c r="AI110" s="76"/>
      <c r="AJ110" s="24">
        <f>-AJ90</f>
        <v>0</v>
      </c>
      <c r="AK110" s="24">
        <f>AK90</f>
        <v>0</v>
      </c>
      <c r="AL110" s="76"/>
      <c r="AM110" s="76"/>
      <c r="AN110" s="30"/>
      <c r="AO110" s="33"/>
      <c r="AP110" s="33"/>
      <c r="AQ110" s="33"/>
      <c r="AR110" s="33"/>
      <c r="AS110" s="33"/>
      <c r="AT110" s="33"/>
      <c r="AU110" s="33"/>
      <c r="AV110" s="33"/>
      <c r="AW110" s="33"/>
      <c r="AX110" s="30"/>
    </row>
    <row r="111" spans="31:51" ht="15" customHeight="1" x14ac:dyDescent="0.25">
      <c r="AE111" s="30"/>
      <c r="AJ111" s="25">
        <f>-AJ89</f>
        <v>0</v>
      </c>
      <c r="AK111" s="25">
        <f>AK89</f>
        <v>0</v>
      </c>
      <c r="AN111" s="30"/>
      <c r="AX111" s="30"/>
    </row>
    <row r="112" spans="31:51" ht="15" customHeight="1" x14ac:dyDescent="0.25">
      <c r="AE112" s="30"/>
      <c r="AJ112" s="25">
        <f>-AJ88</f>
        <v>0</v>
      </c>
      <c r="AK112" s="25">
        <f>AK88</f>
        <v>0</v>
      </c>
      <c r="AN112" s="30"/>
      <c r="AX112" s="30"/>
    </row>
    <row r="113" spans="31:50" ht="15" customHeight="1" x14ac:dyDescent="0.25">
      <c r="AE113" s="30"/>
      <c r="AJ113" s="25">
        <f>-AJ87</f>
        <v>0</v>
      </c>
      <c r="AK113" s="25">
        <f>AK87</f>
        <v>0</v>
      </c>
      <c r="AN113" s="30"/>
      <c r="AX113" s="30"/>
    </row>
    <row r="114" spans="31:50" ht="15" customHeight="1" x14ac:dyDescent="0.25">
      <c r="AE114" s="30"/>
      <c r="AF114" s="30"/>
      <c r="AG114" s="30"/>
      <c r="AH114" s="32"/>
      <c r="AI114" s="32"/>
      <c r="AJ114" s="32"/>
      <c r="AK114" s="32"/>
      <c r="AL114" s="32"/>
      <c r="AM114" s="32"/>
      <c r="AN114" s="30"/>
      <c r="AO114" s="30"/>
      <c r="AP114" s="30"/>
      <c r="AQ114" s="30"/>
      <c r="AR114" s="30"/>
      <c r="AS114" s="30"/>
      <c r="AT114" s="30"/>
      <c r="AU114" s="30"/>
      <c r="AV114" s="30"/>
      <c r="AW114" s="30"/>
      <c r="AX114" s="30"/>
    </row>
  </sheetData>
  <mergeCells count="12">
    <mergeCell ref="AH55:AI55"/>
    <mergeCell ref="AJ55:AK55"/>
    <mergeCell ref="AL55:AM55"/>
    <mergeCell ref="AH85:AI85"/>
    <mergeCell ref="AJ85:AK85"/>
    <mergeCell ref="AL85:AM85"/>
    <mergeCell ref="AJ25:AK25"/>
    <mergeCell ref="AH25:AI25"/>
    <mergeCell ref="AL25:AM25"/>
    <mergeCell ref="AL3:AM3"/>
    <mergeCell ref="AJ3:AK3"/>
    <mergeCell ref="AH3:AI3"/>
  </mergeCells>
  <phoneticPr fontId="9" type="noConversion"/>
  <pageMargins left="0.39370078740157483" right="0.39370078740157483" top="0.39370078740157483" bottom="0.39370078740157483" header="0.31496062992125984" footer="0.31496062992125984"/>
  <pageSetup paperSize="119" scale="71" orientation="landscape" horizontalDpi="1200" verticalDpi="12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Feuilles de calcul</vt:lpstr>
      </vt:variant>
      <vt:variant>
        <vt:i4>4</vt:i4>
      </vt:variant>
      <vt:variant>
        <vt:lpstr>Plages nommées</vt:lpstr>
      </vt:variant>
      <vt:variant>
        <vt:i4>5</vt:i4>
      </vt:variant>
    </vt:vector>
  </HeadingPairs>
  <TitlesOfParts>
    <vt:vector size="9" baseType="lpstr">
      <vt:lpstr>Informations</vt:lpstr>
      <vt:lpstr>Situations</vt:lpstr>
      <vt:lpstr>Calculs</vt:lpstr>
      <vt:lpstr>Section soudée</vt:lpstr>
      <vt:lpstr>Calculs!Impression_des_titres</vt:lpstr>
      <vt:lpstr>Calculs!Zone_d_impression</vt:lpstr>
      <vt:lpstr>Informations!Zone_d_impression</vt:lpstr>
      <vt:lpstr>'Section soudée'!Zone_d_impression</vt:lpstr>
      <vt:lpstr>Situations!Zone_d_impression</vt:lpstr>
    </vt:vector>
  </TitlesOfParts>
  <Company>GENIVAR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Benoit Cusson</dc:creator>
  <cp:lastModifiedBy>INALCO 2023</cp:lastModifiedBy>
  <cp:lastPrinted>2022-11-11T16:09:14Z</cp:lastPrinted>
  <dcterms:created xsi:type="dcterms:W3CDTF">2014-06-05T18:47:29Z</dcterms:created>
  <dcterms:modified xsi:type="dcterms:W3CDTF">2024-07-25T19:41:08Z</dcterms:modified>
</cp:coreProperties>
</file>